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<sst xmlns="http://schemas.openxmlformats.org/spreadsheetml/2006/main" count="171" uniqueCount="123">
  <si>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</si>
  <si>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</si>
  <si>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</si>
  <si>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</si>
  <si>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</si>
  <si>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</si>
  <si>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</si>
  <si>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</si>
  <si>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</si>
  <si>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</si>
  <si>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</si>
  <si>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</si>
  <si>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</si>
  <si>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</si>
  <si>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</si>
  <si>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</si>
  <si>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</si>
  <si>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</si>
  <si>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</si>
  <si>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</si>
  <si>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</si>
  <si>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</si>
  <si>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</si>
  <si>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</si>
  <si>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</si>
  <si>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</si>
  <si>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</si>
  <si>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</si>
  <si>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</si>
  <si>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</si>
  <si>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</si>
  <si>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</si>
  <si>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</si>
  <si>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</si>
  <si>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</si>
  <si>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</si>
  <si>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</si>
  <si>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</si>
  <si>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</si>
  <si>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</si>
  <si>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</si>
  <si>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</si>
  <si>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</si>
  <si>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</si>
  <si>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</si>
  <si>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</si>
  <si>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</si>
  <si>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</si>
  <si>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</si>
  <si>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</si>
  <si>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</si>
  <si>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</si>
  <si>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</si>
  <si>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</si>
  <si>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</si>
  <si>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</si>
  <si>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</si>
  <si>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</si>
  <si>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</si>
  <si>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</si>
  <si>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</si>
  <si>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</si>
  <si>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</si>
  <si>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</si>
  <si>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</si>
  <si>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</si>
  <si>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</si>
  <si>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</si>
  <si>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</si>
  <si>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</si>
  <si>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</si>
  <si>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</si>
  <si>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</si>
  <si>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</si>
  <si>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</si>
  <si>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</si>
  <si>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</si>
  <si>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</si>
  <si>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</si>
  <si>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</si>
  <si>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</si>
  <si>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</si>
  <si>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</si>
  <si>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</si>
  <si>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</si>
  <si>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</si>
  <si>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</si>
  <si>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</si>
  <si>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</si>
  <si>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</si>
  <si>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</si>
  <si>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</si>
  <si>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</si>
  <si>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</si>
  <si>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</si>
  <si>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</si>
  <si>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</si>
  <si>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</si>
  <si>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</si>
  <si>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</si>
  <si>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</si>
  <si>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</si>
  <si>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</si>
  <si>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</si>
  <si>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</si>
  <si>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</si>
  <si>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</si>
  <si>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</si>
  <si>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</si>
  <si>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</si>
  <si>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</si>
  <si>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</si>
  <si>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</si>
  <si>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</si>
  <si>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</si>
  <si>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</si>
  <si>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</si>
  <si>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</si>
  <si>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</si>
  <si>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</si>
  <si>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</si>
  <si>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</si>
  <si>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міського бюджету за 2016 рік станом на 12.05.2016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</si>
</sst>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56062.5</c:v>
                </c:pt>
                <c:pt idx="1">
                  <c:v>47610.9</c:v>
                </c:pt>
                <c:pt idx="2">
                  <c:v>2476</c:v>
                </c:pt>
                <c:pt idx="3">
                  <c:v>5975.5999999999985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13452.6</c:v>
                </c:pt>
                <c:pt idx="1">
                  <c:v>12168.8</c:v>
                </c:pt>
                <c:pt idx="2">
                  <c:v>471.59999999999997</c:v>
                </c:pt>
                <c:pt idx="3">
                  <c:v>812.2000000000012</c:v>
                </c:pt>
              </c:numCache>
            </c:numRef>
          </c:val>
          <c:shape val="box"/>
        </c:ser>
        <c:shape val="box"/>
        <c:axId val="66135061"/>
        <c:axId val="59234898"/>
      </c:bar3DChart>
      <c:catAx>
        <c:axId val="66135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234898"/>
        <c:crosses val="autoZero"/>
        <c:auto val="1"/>
        <c:lblOffset val="100"/>
        <c:tickLblSkip val="1"/>
        <c:noMultiLvlLbl val="0"/>
      </c:catAx>
      <c:valAx>
        <c:axId val="59234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350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426986.5</c:v>
                </c:pt>
                <c:pt idx="1">
                  <c:v>185717.4</c:v>
                </c:pt>
                <c:pt idx="2">
                  <c:v>298081.6</c:v>
                </c:pt>
                <c:pt idx="3">
                  <c:v>85.7</c:v>
                </c:pt>
                <c:pt idx="4">
                  <c:v>28052.9</c:v>
                </c:pt>
                <c:pt idx="5">
                  <c:v>71654.8</c:v>
                </c:pt>
                <c:pt idx="6">
                  <c:v>14712</c:v>
                </c:pt>
                <c:pt idx="7">
                  <c:v>14399.500000000015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101009.00000000003</c:v>
                </c:pt>
                <c:pt idx="1">
                  <c:v>39706.9</c:v>
                </c:pt>
                <c:pt idx="2">
                  <c:v>69098.7</c:v>
                </c:pt>
                <c:pt idx="3">
                  <c:v>11.4</c:v>
                </c:pt>
                <c:pt idx="4">
                  <c:v>6595.200000000001</c:v>
                </c:pt>
                <c:pt idx="5">
                  <c:v>20247.600000000002</c:v>
                </c:pt>
                <c:pt idx="6">
                  <c:v>3430.600000000001</c:v>
                </c:pt>
                <c:pt idx="7">
                  <c:v>1625.5000000000268</c:v>
                </c:pt>
              </c:numCache>
            </c:numRef>
          </c:val>
          <c:shape val="box"/>
        </c:ser>
        <c:shape val="box"/>
        <c:axId val="64793259"/>
        <c:axId val="23025008"/>
      </c:bar3DChart>
      <c:catAx>
        <c:axId val="64793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025008"/>
        <c:crosses val="autoZero"/>
        <c:auto val="1"/>
        <c:lblOffset val="100"/>
        <c:tickLblSkip val="1"/>
        <c:noMultiLvlLbl val="0"/>
      </c:catAx>
      <c:valAx>
        <c:axId val="23025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932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253991.4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13082.100000000004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56809.3</c:v>
                </c:pt>
                <c:pt idx="1">
                  <c:v>42183.19999999999</c:v>
                </c:pt>
                <c:pt idx="2">
                  <c:v>43402.899999999994</c:v>
                </c:pt>
                <c:pt idx="3">
                  <c:v>4137.799999999999</c:v>
                </c:pt>
                <c:pt idx="4">
                  <c:v>949.5999999999999</c:v>
                </c:pt>
                <c:pt idx="5">
                  <c:v>7091.499999999999</c:v>
                </c:pt>
                <c:pt idx="6">
                  <c:v>378.4</c:v>
                </c:pt>
                <c:pt idx="7">
                  <c:v>849.10000000001</c:v>
                </c:pt>
              </c:numCache>
            </c:numRef>
          </c:val>
          <c:shape val="box"/>
        </c:ser>
        <c:shape val="box"/>
        <c:axId val="28095153"/>
        <c:axId val="15843134"/>
      </c:bar3DChart>
      <c:catAx>
        <c:axId val="28095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843134"/>
        <c:crosses val="autoZero"/>
        <c:auto val="1"/>
        <c:lblOffset val="100"/>
        <c:tickLblSkip val="1"/>
        <c:noMultiLvlLbl val="0"/>
      </c:catAx>
      <c:valAx>
        <c:axId val="158431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951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11203.999999999998</c:v>
                </c:pt>
                <c:pt idx="1">
                  <c:v>7978.9</c:v>
                </c:pt>
                <c:pt idx="2">
                  <c:v>598.8000000000001</c:v>
                </c:pt>
                <c:pt idx="3">
                  <c:v>78.5</c:v>
                </c:pt>
                <c:pt idx="4">
                  <c:v>15.299999999999999</c:v>
                </c:pt>
                <c:pt idx="5">
                  <c:v>2532.499999999998</c:v>
                </c:pt>
              </c:numCache>
            </c:numRef>
          </c:val>
          <c:shape val="box"/>
        </c:ser>
        <c:shape val="box"/>
        <c:axId val="11961767"/>
        <c:axId val="48640828"/>
      </c:bar3DChart>
      <c:catAx>
        <c:axId val="11961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640828"/>
        <c:crosses val="autoZero"/>
        <c:auto val="1"/>
        <c:lblOffset val="100"/>
        <c:tickLblSkip val="1"/>
        <c:noMultiLvlLbl val="0"/>
      </c:catAx>
      <c:valAx>
        <c:axId val="486408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617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16112.5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4551.699999999999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3182.5</c:v>
                </c:pt>
                <c:pt idx="1">
                  <c:v>2211.8999999999996</c:v>
                </c:pt>
                <c:pt idx="3">
                  <c:v>28.2</c:v>
                </c:pt>
                <c:pt idx="4">
                  <c:v>243.99999999999997</c:v>
                </c:pt>
                <c:pt idx="5">
                  <c:v>698.4000000000003</c:v>
                </c:pt>
              </c:numCache>
            </c:numRef>
          </c:val>
          <c:shape val="box"/>
        </c:ser>
        <c:shape val="box"/>
        <c:axId val="54356237"/>
        <c:axId val="24680682"/>
      </c:bar3DChart>
      <c:catAx>
        <c:axId val="54356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680682"/>
        <c:crosses val="autoZero"/>
        <c:auto val="1"/>
        <c:lblOffset val="100"/>
        <c:tickLblSkip val="2"/>
        <c:noMultiLvlLbl val="0"/>
      </c:catAx>
      <c:valAx>
        <c:axId val="246806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562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5881.8</c:v>
                </c:pt>
                <c:pt idx="1">
                  <c:v>1508.2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198.10000000000053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478.5</c:v>
                </c:pt>
                <c:pt idx="1">
                  <c:v>348.2</c:v>
                </c:pt>
                <c:pt idx="3">
                  <c:v>119.9</c:v>
                </c:pt>
                <c:pt idx="5">
                  <c:v>10.400000000000006</c:v>
                </c:pt>
              </c:numCache>
            </c:numRef>
          </c:val>
          <c:shape val="box"/>
        </c:ser>
        <c:shape val="box"/>
        <c:axId val="21364323"/>
        <c:axId val="34440136"/>
      </c:bar3DChart>
      <c:catAx>
        <c:axId val="21364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440136"/>
        <c:crosses val="autoZero"/>
        <c:auto val="1"/>
        <c:lblOffset val="100"/>
        <c:tickLblSkip val="1"/>
        <c:noMultiLvlLbl val="0"/>
      </c:catAx>
      <c:valAx>
        <c:axId val="34440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643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24978.6</c:v>
                </c:pt>
              </c:numCache>
            </c:numRef>
          </c:val>
          <c:shape val="box"/>
        </c:ser>
        <c:shape val="box"/>
        <c:axId val="34644777"/>
        <c:axId val="50402134"/>
      </c:bar3DChart>
      <c:catAx>
        <c:axId val="34644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402134"/>
        <c:crosses val="autoZero"/>
        <c:auto val="1"/>
        <c:lblOffset val="100"/>
        <c:tickLblSkip val="1"/>
        <c:noMultiLvlLbl val="0"/>
      </c:catAx>
      <c:valAx>
        <c:axId val="504021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447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426986.5</c:v>
                </c:pt>
                <c:pt idx="1">
                  <c:v>253991.4</c:v>
                </c:pt>
                <c:pt idx="2">
                  <c:v>50285.299999999996</c:v>
                </c:pt>
                <c:pt idx="3">
                  <c:v>16112.5</c:v>
                </c:pt>
                <c:pt idx="4">
                  <c:v>5881.8</c:v>
                </c:pt>
                <c:pt idx="5">
                  <c:v>56062.5</c:v>
                </c:pt>
                <c:pt idx="6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101009.00000000003</c:v>
                </c:pt>
                <c:pt idx="1">
                  <c:v>56809.3</c:v>
                </c:pt>
                <c:pt idx="2">
                  <c:v>11203.999999999998</c:v>
                </c:pt>
                <c:pt idx="3">
                  <c:v>3182.5</c:v>
                </c:pt>
                <c:pt idx="4">
                  <c:v>478.5</c:v>
                </c:pt>
                <c:pt idx="5">
                  <c:v>13452.6</c:v>
                </c:pt>
                <c:pt idx="6">
                  <c:v>24978.6</c:v>
                </c:pt>
              </c:numCache>
            </c:numRef>
          </c:val>
          <c:shape val="box"/>
        </c:ser>
        <c:shape val="box"/>
        <c:axId val="55759071"/>
        <c:axId val="65590036"/>
      </c:bar3DChart>
      <c:catAx>
        <c:axId val="55759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590036"/>
        <c:crosses val="autoZero"/>
        <c:auto val="1"/>
        <c:lblOffset val="100"/>
        <c:tickLblSkip val="1"/>
        <c:noMultiLvlLbl val="0"/>
      </c:catAx>
      <c:valAx>
        <c:axId val="65590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590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587184.8999999998</c:v>
                </c:pt>
                <c:pt idx="1">
                  <c:v>114263.80000000002</c:v>
                </c:pt>
                <c:pt idx="2">
                  <c:v>32660.300000000003</c:v>
                </c:pt>
                <c:pt idx="3">
                  <c:v>29295.7</c:v>
                </c:pt>
                <c:pt idx="4">
                  <c:v>21053.1</c:v>
                </c:pt>
                <c:pt idx="5">
                  <c:v>600482.5000000005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137047.59999999995</c:v>
                </c:pt>
                <c:pt idx="1">
                  <c:v>30416.899999999998</c:v>
                </c:pt>
                <c:pt idx="2">
                  <c:v>7581.900000000001</c:v>
                </c:pt>
                <c:pt idx="3">
                  <c:v>5634.200000000001</c:v>
                </c:pt>
                <c:pt idx="4">
                  <c:v>4149.999999999999</c:v>
                </c:pt>
                <c:pt idx="5">
                  <c:v>80980.90000000013</c:v>
                </c:pt>
              </c:numCache>
            </c:numRef>
          </c:val>
          <c:shape val="box"/>
        </c:ser>
        <c:shape val="box"/>
        <c:axId val="17267973"/>
        <c:axId val="54565506"/>
      </c:bar3DChart>
      <c:catAx>
        <c:axId val="17267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565506"/>
        <c:crosses val="autoZero"/>
        <c:auto val="1"/>
        <c:lblOffset val="100"/>
        <c:tickLblSkip val="1"/>
        <c:noMultiLvlLbl val="0"/>
      </c:catAx>
      <c:valAx>
        <c:axId val="54565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679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112</v>
      </c>
      <c r="D3" s="135" t="s">
        <v>28</v>
      </c>
      <c r="E3" s="135" t="s">
        <v>27</v>
      </c>
      <c r="F3" s="135" t="s">
        <v>120</v>
      </c>
      <c r="G3" s="135" t="s">
        <v>114</v>
      </c>
      <c r="H3" s="135" t="s">
        <v>121</v>
      </c>
      <c r="I3" s="135" t="s">
        <v>113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193634.7</v>
      </c>
      <c r="C6" s="50">
        <f>426773.1+25+188.4+2200.9</f>
        <v>429187.4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</f>
        <v>146200.90000000005</v>
      </c>
      <c r="E6" s="3">
        <f>D6/D149*100</f>
        <v>33.9923357287475</v>
      </c>
      <c r="F6" s="3">
        <f>D6/B6*100</f>
        <v>75.5034608982791</v>
      </c>
      <c r="G6" s="3">
        <f aca="true" t="shared" si="0" ref="G6:G43">D6/C6*100</f>
        <v>34.06458344303678</v>
      </c>
      <c r="H6" s="51">
        <f>B6-D6</f>
        <v>47433.79999999996</v>
      </c>
      <c r="I6" s="51">
        <f aca="true" t="shared" si="1" ref="I6:I43">C6-D6</f>
        <v>282986.5</v>
      </c>
    </row>
    <row r="7" spans="1:9" s="41" customFormat="1" ht="18.75">
      <c r="A7" s="112" t="s">
        <v>98</v>
      </c>
      <c r="B7" s="105">
        <v>78635.8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</f>
        <v>60489.1</v>
      </c>
      <c r="E7" s="103">
        <f>D7/D6*100</f>
        <v>41.37395871024048</v>
      </c>
      <c r="F7" s="103">
        <f>D7/B7*100</f>
        <v>76.92310626966344</v>
      </c>
      <c r="G7" s="103">
        <f>D7/C7*100</f>
        <v>32.18904172717612</v>
      </c>
      <c r="H7" s="113">
        <f>B7-D7</f>
        <v>18146.700000000004</v>
      </c>
      <c r="I7" s="113">
        <f t="shared" si="1"/>
        <v>127429.19999999998</v>
      </c>
    </row>
    <row r="8" spans="1:9" ht="18">
      <c r="A8" s="26" t="s">
        <v>3</v>
      </c>
      <c r="B8" s="46">
        <v>129500.7</v>
      </c>
      <c r="C8" s="47">
        <v>298081.6</v>
      </c>
      <c r="D8" s="48">
        <f>3665.2+5419.3+4645.9+6727.5+3.3+4022.1+5553.6+3348.6+2163.6+10156.4+7.2+0.6+10315.5+1+3228.6+8514.3+1326+3.5+12.8+5216.4+5594.6+5651.4+7023.1+2.4+8.5+10209.4</f>
        <v>102820.79999999999</v>
      </c>
      <c r="E8" s="1">
        <f>D8/D6*100</f>
        <v>70.3284316307218</v>
      </c>
      <c r="F8" s="1">
        <f>D8/B8*100</f>
        <v>79.39787198061477</v>
      </c>
      <c r="G8" s="1">
        <f t="shared" si="0"/>
        <v>34.494178775207864</v>
      </c>
      <c r="H8" s="48">
        <f>B8-D8</f>
        <v>26679.90000000001</v>
      </c>
      <c r="I8" s="48">
        <f t="shared" si="1"/>
        <v>195260.8</v>
      </c>
    </row>
    <row r="9" spans="1:9" ht="18">
      <c r="A9" s="26" t="s">
        <v>2</v>
      </c>
      <c r="B9" s="46">
        <v>46.5</v>
      </c>
      <c r="C9" s="47">
        <v>85.7</v>
      </c>
      <c r="D9" s="48">
        <f>4+2.9+1.6+0.5+0.5+1.9+1.2+1.8+1.6+0.7+2+3.7+0.1</f>
        <v>22.5</v>
      </c>
      <c r="E9" s="12">
        <f>D9/D6*100</f>
        <v>0.015389782142243989</v>
      </c>
      <c r="F9" s="128">
        <f>D9/B9*100</f>
        <v>48.38709677419355</v>
      </c>
      <c r="G9" s="1">
        <f t="shared" si="0"/>
        <v>26.254375729288213</v>
      </c>
      <c r="H9" s="48">
        <f aca="true" t="shared" si="2" ref="H9:H43">B9-D9</f>
        <v>24</v>
      </c>
      <c r="I9" s="48">
        <f t="shared" si="1"/>
        <v>63.2</v>
      </c>
    </row>
    <row r="10" spans="1:9" ht="18">
      <c r="A10" s="26" t="s">
        <v>1</v>
      </c>
      <c r="B10" s="46">
        <v>16812.9</v>
      </c>
      <c r="C10" s="47">
        <v>28052.9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</f>
        <v>9831.800000000001</v>
      </c>
      <c r="E10" s="1">
        <f>D10/D6*100</f>
        <v>6.72485600293842</v>
      </c>
      <c r="F10" s="1">
        <f aca="true" t="shared" si="3" ref="F10:F41">D10/B10*100</f>
        <v>58.47771651529481</v>
      </c>
      <c r="G10" s="1">
        <f t="shared" si="0"/>
        <v>35.04735695774769</v>
      </c>
      <c r="H10" s="48">
        <f t="shared" si="2"/>
        <v>6981.1</v>
      </c>
      <c r="I10" s="48">
        <f t="shared" si="1"/>
        <v>18221.1</v>
      </c>
    </row>
    <row r="11" spans="1:9" ht="18">
      <c r="A11" s="26" t="s">
        <v>0</v>
      </c>
      <c r="B11" s="46">
        <v>33734.7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</f>
        <v>25877.599999999995</v>
      </c>
      <c r="E11" s="1">
        <f>D11/D6*100</f>
        <v>17.70002783840591</v>
      </c>
      <c r="F11" s="1">
        <f t="shared" si="3"/>
        <v>76.70914518285326</v>
      </c>
      <c r="G11" s="1">
        <f t="shared" si="0"/>
        <v>36.114258919151254</v>
      </c>
      <c r="H11" s="48">
        <f t="shared" si="2"/>
        <v>7857.100000000002</v>
      </c>
      <c r="I11" s="48">
        <f t="shared" si="1"/>
        <v>45777.20000000001</v>
      </c>
    </row>
    <row r="12" spans="1:9" ht="18">
      <c r="A12" s="26" t="s">
        <v>15</v>
      </c>
      <c r="B12" s="46">
        <v>6004.2</v>
      </c>
      <c r="C12" s="47">
        <v>14712</v>
      </c>
      <c r="D12" s="48">
        <f>5+12.7+3.8+1250.6+160.8+241+218.1+277.6+20.3+413.8+8.3+240.5+24.8+2.5+338+212.8+1.2+3.8+19.1+319.6+33.1+186+278+233.1+1.2</f>
        <v>4505.700000000001</v>
      </c>
      <c r="E12" s="1">
        <f>D12/D6*100</f>
        <v>3.081855173258167</v>
      </c>
      <c r="F12" s="1">
        <f t="shared" si="3"/>
        <v>75.04247027081044</v>
      </c>
      <c r="G12" s="1">
        <f t="shared" si="0"/>
        <v>30.62601957585645</v>
      </c>
      <c r="H12" s="48">
        <f t="shared" si="2"/>
        <v>1498.499999999999</v>
      </c>
      <c r="I12" s="48">
        <f t="shared" si="1"/>
        <v>10206.3</v>
      </c>
    </row>
    <row r="13" spans="1:9" ht="18.75" thickBot="1">
      <c r="A13" s="26" t="s">
        <v>34</v>
      </c>
      <c r="B13" s="47">
        <f>B6-B8-B9-B10-B11-B12</f>
        <v>7535.700000000016</v>
      </c>
      <c r="C13" s="47">
        <f>C6-C8-C9-C10-C11-C12</f>
        <v>16600.400000000038</v>
      </c>
      <c r="D13" s="47">
        <f>D6-D8-D9-D10-D11-D12</f>
        <v>3142.5000000000655</v>
      </c>
      <c r="E13" s="1">
        <f>D13/D6*100</f>
        <v>2.1494395725334554</v>
      </c>
      <c r="F13" s="1">
        <f t="shared" si="3"/>
        <v>41.70150085592657</v>
      </c>
      <c r="G13" s="1">
        <f t="shared" si="0"/>
        <v>18.930266740560818</v>
      </c>
      <c r="H13" s="48">
        <f t="shared" si="2"/>
        <v>4393.199999999951</v>
      </c>
      <c r="I13" s="48">
        <f t="shared" si="1"/>
        <v>13457.899999999972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105331.6</v>
      </c>
      <c r="C18" s="50">
        <f>250434.1+666.5+2890.8</f>
        <v>253991.4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</f>
        <v>84621.9</v>
      </c>
      <c r="E18" s="3">
        <f>D18/D149*100</f>
        <v>19.674954359408844</v>
      </c>
      <c r="F18" s="3">
        <f>D18/B18*100</f>
        <v>80.33856886252558</v>
      </c>
      <c r="G18" s="3">
        <f t="shared" si="0"/>
        <v>33.31683671179418</v>
      </c>
      <c r="H18" s="51">
        <f>B18-D18</f>
        <v>20709.70000000001</v>
      </c>
      <c r="I18" s="51">
        <f t="shared" si="1"/>
        <v>169369.5</v>
      </c>
    </row>
    <row r="19" spans="1:9" s="41" customFormat="1" ht="18.75">
      <c r="A19" s="112" t="s">
        <v>99</v>
      </c>
      <c r="B19" s="105">
        <v>80455.5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</f>
        <v>63090.7</v>
      </c>
      <c r="E19" s="103">
        <f>D19/D18*100</f>
        <v>74.55599555197885</v>
      </c>
      <c r="F19" s="103">
        <f t="shared" si="3"/>
        <v>78.41688883917196</v>
      </c>
      <c r="G19" s="103">
        <f t="shared" si="0"/>
        <v>33.04215984078768</v>
      </c>
      <c r="H19" s="113">
        <f t="shared" si="2"/>
        <v>17364.800000000003</v>
      </c>
      <c r="I19" s="113">
        <f t="shared" si="1"/>
        <v>127849.3</v>
      </c>
    </row>
    <row r="20" spans="1:9" ht="18">
      <c r="A20" s="26" t="s">
        <v>5</v>
      </c>
      <c r="B20" s="46">
        <v>75839.6</v>
      </c>
      <c r="C20" s="47">
        <v>186641.3</v>
      </c>
      <c r="D20" s="48">
        <f>5722.2+1+8655.9+32.9+2.4+5725.7+8251+357.7+0.1+5829.5+27.9+3957+4812.9+26.7+6036.7+16.8+6839+2416.2+22.3+6209</f>
        <v>64942.899999999994</v>
      </c>
      <c r="E20" s="1">
        <f>D20/D18*100</f>
        <v>76.74479065111987</v>
      </c>
      <c r="F20" s="1">
        <f t="shared" si="3"/>
        <v>85.63191261557284</v>
      </c>
      <c r="G20" s="1">
        <f t="shared" si="0"/>
        <v>34.7955677548324</v>
      </c>
      <c r="H20" s="48">
        <f t="shared" si="2"/>
        <v>10896.700000000012</v>
      </c>
      <c r="I20" s="48">
        <f t="shared" si="1"/>
        <v>121698.4</v>
      </c>
    </row>
    <row r="21" spans="1:9" ht="18">
      <c r="A21" s="26" t="s">
        <v>2</v>
      </c>
      <c r="B21" s="46">
        <v>10590.1</v>
      </c>
      <c r="C21" s="47">
        <f>20454.1+500</f>
        <v>20954.1</v>
      </c>
      <c r="D21" s="48">
        <f>80.5+183.6+169.4+194.4+100+1.7+148.4+215.7+278.3+117.8+152.1+196.9+0.1+12.4+249.4+61.7+746.5+93.7+472.5+302.1+275.1+81.6+3.9+35+464.9+2.5+307.7+447+3.4+846+41.6+81.5+37.3+0.2+71.8+4.3</f>
        <v>6480.999999999999</v>
      </c>
      <c r="E21" s="1">
        <f>D21/D18*100</f>
        <v>7.658773910772506</v>
      </c>
      <c r="F21" s="1">
        <f t="shared" si="3"/>
        <v>61.19866667925703</v>
      </c>
      <c r="G21" s="1">
        <f t="shared" si="0"/>
        <v>30.929507829016757</v>
      </c>
      <c r="H21" s="48">
        <f t="shared" si="2"/>
        <v>4109.100000000001</v>
      </c>
      <c r="I21" s="48">
        <f t="shared" si="1"/>
        <v>14473.099999999999</v>
      </c>
    </row>
    <row r="22" spans="1:9" ht="18">
      <c r="A22" s="26" t="s">
        <v>1</v>
      </c>
      <c r="B22" s="46">
        <v>1638.6</v>
      </c>
      <c r="C22" s="47">
        <v>3917.9</v>
      </c>
      <c r="D22" s="48">
        <f>127.7+23.6+33.5+86.7+19.5+2.9+68.3+78.1+10.6+165.4+2.5+15.8+6.5+60.2+104.3+141.7+2.3+23.7+90.2+22.1+28.3+93.7+27.2-0.1+0.2</f>
        <v>1234.9</v>
      </c>
      <c r="E22" s="1">
        <f>D22/D18*100</f>
        <v>1.459314905479551</v>
      </c>
      <c r="F22" s="1">
        <f t="shared" si="3"/>
        <v>75.36311485414379</v>
      </c>
      <c r="G22" s="1">
        <f t="shared" si="0"/>
        <v>31.51943643278287</v>
      </c>
      <c r="H22" s="48">
        <f t="shared" si="2"/>
        <v>403.6999999999998</v>
      </c>
      <c r="I22" s="48">
        <f t="shared" si="1"/>
        <v>2683</v>
      </c>
    </row>
    <row r="23" spans="1:9" ht="18">
      <c r="A23" s="26" t="s">
        <v>0</v>
      </c>
      <c r="B23" s="46">
        <v>14155.2</v>
      </c>
      <c r="C23" s="47">
        <v>27804.4</v>
      </c>
      <c r="D23" s="48">
        <f>230.7+158.8+520.8+110.9+465.7+246.3+3.9+169.6+1975.3+126.5+2+97.4+199.5+165.4+184.4+1288.4+1114.2+20.1+11.6+1104.8+1285.8+113+130.6+146.2+28.7</f>
        <v>9900.6</v>
      </c>
      <c r="E23" s="1">
        <f>D23/D18*100</f>
        <v>11.699808205677256</v>
      </c>
      <c r="F23" s="1">
        <f t="shared" si="3"/>
        <v>69.9432010851136</v>
      </c>
      <c r="G23" s="1">
        <f t="shared" si="0"/>
        <v>35.60803326092273</v>
      </c>
      <c r="H23" s="48">
        <f t="shared" si="2"/>
        <v>4254.6</v>
      </c>
      <c r="I23" s="48">
        <f t="shared" si="1"/>
        <v>17903.800000000003</v>
      </c>
    </row>
    <row r="24" spans="1:9" ht="18">
      <c r="A24" s="26" t="s">
        <v>15</v>
      </c>
      <c r="B24" s="46">
        <v>663.8</v>
      </c>
      <c r="C24" s="47">
        <v>1591.6</v>
      </c>
      <c r="D24" s="48">
        <f>73.6+22.6+5.3+2.4+2.5+128.1+0.1+11.5+121.2+11.2-0.1+27.3+71.1+31.4-0.1+0.8</f>
        <v>508.8999999999999</v>
      </c>
      <c r="E24" s="1">
        <f>D24/D18*100</f>
        <v>0.6013809663928604</v>
      </c>
      <c r="F24" s="1">
        <f t="shared" si="3"/>
        <v>76.66465802952696</v>
      </c>
      <c r="G24" s="1">
        <f t="shared" si="0"/>
        <v>31.97411409901985</v>
      </c>
      <c r="H24" s="48">
        <f t="shared" si="2"/>
        <v>154.90000000000003</v>
      </c>
      <c r="I24" s="48">
        <f t="shared" si="1"/>
        <v>1082.7</v>
      </c>
    </row>
    <row r="25" spans="1:9" ht="18.75" thickBot="1">
      <c r="A25" s="26" t="s">
        <v>34</v>
      </c>
      <c r="B25" s="47">
        <f>B18-B20-B21-B22-B23-B24</f>
        <v>2444.300000000002</v>
      </c>
      <c r="C25" s="47">
        <f>C18-C20-C21-C22-C23-C24</f>
        <v>13082.100000000004</v>
      </c>
      <c r="D25" s="47">
        <f>D18-D20-D21-D22-D23-D24</f>
        <v>1553.6000000000001</v>
      </c>
      <c r="E25" s="1">
        <f>D25/D18*100</f>
        <v>1.8359313605579648</v>
      </c>
      <c r="F25" s="1">
        <f t="shared" si="3"/>
        <v>63.5601194616045</v>
      </c>
      <c r="G25" s="1">
        <f t="shared" si="0"/>
        <v>11.875769180789014</v>
      </c>
      <c r="H25" s="48">
        <f t="shared" si="2"/>
        <v>890.7000000000019</v>
      </c>
      <c r="I25" s="48">
        <f t="shared" si="1"/>
        <v>11528.500000000004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21154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</f>
        <v>17110</v>
      </c>
      <c r="E33" s="3">
        <f>D33/D149*100</f>
        <v>3.9781483172734875</v>
      </c>
      <c r="F33" s="3">
        <f>D33/B33*100</f>
        <v>80.88304812328637</v>
      </c>
      <c r="G33" s="3">
        <f t="shared" si="0"/>
        <v>34.02584850841101</v>
      </c>
      <c r="H33" s="51">
        <f t="shared" si="2"/>
        <v>4044</v>
      </c>
      <c r="I33" s="51">
        <f t="shared" si="1"/>
        <v>33175.299999999996</v>
      </c>
    </row>
    <row r="34" spans="1:9" ht="18">
      <c r="A34" s="26" t="s">
        <v>3</v>
      </c>
      <c r="B34" s="46">
        <f>13875.9+46.2</f>
        <v>13922.1</v>
      </c>
      <c r="C34" s="47">
        <v>35016.6</v>
      </c>
      <c r="D34" s="48">
        <f>1335+1268.2+1354.9+1304.2+1357+1359.6+1365.6+1342.2+1381.4</f>
        <v>12068.1</v>
      </c>
      <c r="E34" s="1">
        <f>D34/D33*100</f>
        <v>70.5324371712449</v>
      </c>
      <c r="F34" s="1">
        <f t="shared" si="3"/>
        <v>86.68304350636757</v>
      </c>
      <c r="G34" s="1">
        <f t="shared" si="0"/>
        <v>34.463939959904735</v>
      </c>
      <c r="H34" s="48">
        <f t="shared" si="2"/>
        <v>1854</v>
      </c>
      <c r="I34" s="48">
        <f t="shared" si="1"/>
        <v>22948.5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f>1888.4-80.4</f>
        <v>1808</v>
      </c>
      <c r="C36" s="47">
        <v>3384.4</v>
      </c>
      <c r="D36" s="48">
        <f>10.5+61.2+112+1.1+10.5+29.3+0.6+6.8+9.7+3.4+19.2+41.9-0.2+31.7+187.3+26+0.6+2.4+24.9+11.7+8.1+0.1+179+19+1+1.3+0.4+1.8+4.5+241.4+76.8+24.3+5.1</f>
        <v>1153.3999999999999</v>
      </c>
      <c r="E36" s="1">
        <f>D36/D33*100</f>
        <v>6.741087083576855</v>
      </c>
      <c r="F36" s="1">
        <f t="shared" si="3"/>
        <v>63.794247787610615</v>
      </c>
      <c r="G36" s="1">
        <f t="shared" si="0"/>
        <v>34.07989599338139</v>
      </c>
      <c r="H36" s="48">
        <f t="shared" si="2"/>
        <v>654.6000000000001</v>
      </c>
      <c r="I36" s="48">
        <f t="shared" si="1"/>
        <v>2231</v>
      </c>
    </row>
    <row r="37" spans="1:9" s="41" customFormat="1" ht="18.75">
      <c r="A37" s="20" t="s">
        <v>7</v>
      </c>
      <c r="B37" s="55">
        <v>317.1</v>
      </c>
      <c r="C37" s="56">
        <v>929.3</v>
      </c>
      <c r="D37" s="57">
        <f>11.2+19.5+15.2+5+5.7-0.1+1.9+5.1+7+0.3+7.7</f>
        <v>78.5</v>
      </c>
      <c r="E37" s="17">
        <f>D37/D33*100</f>
        <v>0.4587960257159556</v>
      </c>
      <c r="F37" s="17">
        <f t="shared" si="3"/>
        <v>24.75559760327972</v>
      </c>
      <c r="G37" s="17">
        <f t="shared" si="0"/>
        <v>8.447218336382225</v>
      </c>
      <c r="H37" s="57">
        <f t="shared" si="2"/>
        <v>238.60000000000002</v>
      </c>
      <c r="I37" s="57">
        <f t="shared" si="1"/>
        <v>850.8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</f>
        <v>20.4</v>
      </c>
      <c r="E38" s="1">
        <f>D38/D33*100</f>
        <v>0.11922852133255406</v>
      </c>
      <c r="F38" s="1">
        <f t="shared" si="3"/>
        <v>80</v>
      </c>
      <c r="G38" s="1">
        <f t="shared" si="0"/>
        <v>33.55263157894737</v>
      </c>
      <c r="H38" s="48">
        <f t="shared" si="2"/>
        <v>5.100000000000001</v>
      </c>
      <c r="I38" s="48">
        <f t="shared" si="1"/>
        <v>40.4</v>
      </c>
    </row>
    <row r="39" spans="1:9" ht="18.75" thickBot="1">
      <c r="A39" s="26" t="s">
        <v>34</v>
      </c>
      <c r="B39" s="46">
        <f>B33-B34-B36-B37-B35-B38</f>
        <v>5081.299999999999</v>
      </c>
      <c r="C39" s="46">
        <f>C33-C34-C36-C37-C35-C38</f>
        <v>10894.199999999999</v>
      </c>
      <c r="D39" s="46">
        <f>D33-D34-D36-D37-D35-D38</f>
        <v>3789.6</v>
      </c>
      <c r="E39" s="1">
        <f>D39/D33*100</f>
        <v>22.14845119812975</v>
      </c>
      <c r="F39" s="1">
        <f t="shared" si="3"/>
        <v>74.5793399326944</v>
      </c>
      <c r="G39" s="1">
        <f t="shared" si="0"/>
        <v>34.785482183180044</v>
      </c>
      <c r="H39" s="48">
        <f>B39-D39</f>
        <v>1291.6999999999994</v>
      </c>
      <c r="I39" s="48">
        <f t="shared" si="1"/>
        <v>7104.5999999999985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418.1</v>
      </c>
      <c r="C43" s="50">
        <f>829.5+61+9</f>
        <v>899.5</v>
      </c>
      <c r="D43" s="51">
        <f>22.2+3+5+12.1+5.3+62.1+8.7+22.7+11.7+44.1-0.1+8.7+8.3+9+2+12.1+30.9+11+14.3</f>
        <v>293.09999999999997</v>
      </c>
      <c r="E43" s="3">
        <f>D43/D149*100</f>
        <v>0.06814700594931963</v>
      </c>
      <c r="F43" s="3">
        <f>D43/B43*100</f>
        <v>70.10284620904089</v>
      </c>
      <c r="G43" s="3">
        <f t="shared" si="0"/>
        <v>32.584769316286824</v>
      </c>
      <c r="H43" s="51">
        <f t="shared" si="2"/>
        <v>125.00000000000006</v>
      </c>
      <c r="I43" s="51">
        <f t="shared" si="1"/>
        <v>606.4000000000001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3195.5</v>
      </c>
      <c r="C45" s="50">
        <v>7741.6</v>
      </c>
      <c r="D45" s="51">
        <f>224.1+260.8+14.4+236.4+3.2+114.6+291.3+0.1+96+241.4+13.4+0.1+331+0.7-0.1+39.8+268.9+0.5+9.3+307.6</f>
        <v>2453.5</v>
      </c>
      <c r="E45" s="3">
        <f>D45/D149*100</f>
        <v>0.5704492633799242</v>
      </c>
      <c r="F45" s="3">
        <f>D45/B45*100</f>
        <v>76.77984665936474</v>
      </c>
      <c r="G45" s="3">
        <f aca="true" t="shared" si="4" ref="G45:G75">D45/C45*100</f>
        <v>31.692415004650197</v>
      </c>
      <c r="H45" s="51">
        <f>B45-D45</f>
        <v>742</v>
      </c>
      <c r="I45" s="51">
        <f aca="true" t="shared" si="5" ref="I45:I76">C45-D45</f>
        <v>5288.1</v>
      </c>
    </row>
    <row r="46" spans="1:9" ht="18">
      <c r="A46" s="26" t="s">
        <v>3</v>
      </c>
      <c r="B46" s="46">
        <v>2713.5</v>
      </c>
      <c r="C46" s="47">
        <v>6753.6</v>
      </c>
      <c r="D46" s="48">
        <f>224.1+258.6+235.3+288.8+241.4+328.6+224.6+306.6</f>
        <v>2108</v>
      </c>
      <c r="E46" s="1">
        <f>D46/D45*100</f>
        <v>85.91807621764825</v>
      </c>
      <c r="F46" s="1">
        <f aca="true" t="shared" si="6" ref="F46:F73">D46/B46*100</f>
        <v>77.68564584484983</v>
      </c>
      <c r="G46" s="1">
        <f t="shared" si="4"/>
        <v>31.212982705520016</v>
      </c>
      <c r="H46" s="48">
        <f aca="true" t="shared" si="7" ref="H46:H73">B46-D46</f>
        <v>605.5</v>
      </c>
      <c r="I46" s="48">
        <f t="shared" si="5"/>
        <v>4645.6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0.032606480538006924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28</v>
      </c>
      <c r="C48" s="47">
        <v>70.7</v>
      </c>
      <c r="D48" s="48">
        <f>0.2+2.1+0.1+6.5+6.7-0.1</f>
        <v>15.500000000000002</v>
      </c>
      <c r="E48" s="1">
        <f>D48/D45*100</f>
        <v>0.6317505604238843</v>
      </c>
      <c r="F48" s="1">
        <f t="shared" si="6"/>
        <v>55.35714285714286</v>
      </c>
      <c r="G48" s="1">
        <f t="shared" si="4"/>
        <v>21.923620933521924</v>
      </c>
      <c r="H48" s="48">
        <f t="shared" si="7"/>
        <v>12.499999999999998</v>
      </c>
      <c r="I48" s="48">
        <f t="shared" si="5"/>
        <v>55.2</v>
      </c>
    </row>
    <row r="49" spans="1:9" ht="18">
      <c r="A49" s="26" t="s">
        <v>0</v>
      </c>
      <c r="B49" s="46">
        <v>316.4</v>
      </c>
      <c r="C49" s="47">
        <v>568.5</v>
      </c>
      <c r="D49" s="48">
        <f>2.2+2.5+0.8+112.4+2.2+0.1+69.1+4.4-0.1+35.2+27.4+4.8+1</f>
        <v>262</v>
      </c>
      <c r="E49" s="1">
        <f>D49/D45*100</f>
        <v>10.67862237619727</v>
      </c>
      <c r="F49" s="1">
        <f t="shared" si="6"/>
        <v>82.80657395701644</v>
      </c>
      <c r="G49" s="1">
        <f t="shared" si="4"/>
        <v>46.08619173262973</v>
      </c>
      <c r="H49" s="48">
        <f t="shared" si="7"/>
        <v>54.39999999999998</v>
      </c>
      <c r="I49" s="48">
        <f t="shared" si="5"/>
        <v>306.5</v>
      </c>
    </row>
    <row r="50" spans="1:9" ht="18.75" thickBot="1">
      <c r="A50" s="26" t="s">
        <v>34</v>
      </c>
      <c r="B50" s="47">
        <f>B45-B46-B49-B48-B47</f>
        <v>136.8</v>
      </c>
      <c r="C50" s="47">
        <f>C45-C46-C49-C48-C47</f>
        <v>347.5</v>
      </c>
      <c r="D50" s="47">
        <f>D45-D46-D49-D48-D47</f>
        <v>67.2</v>
      </c>
      <c r="E50" s="1">
        <f>D50/D45*100</f>
        <v>2.738944365192582</v>
      </c>
      <c r="F50" s="1">
        <f t="shared" si="6"/>
        <v>49.122807017543856</v>
      </c>
      <c r="G50" s="1">
        <f t="shared" si="4"/>
        <v>19.33812949640288</v>
      </c>
      <c r="H50" s="48">
        <f t="shared" si="7"/>
        <v>69.60000000000001</v>
      </c>
      <c r="I50" s="48">
        <f t="shared" si="5"/>
        <v>280.3</v>
      </c>
    </row>
    <row r="51" spans="1:9" ht="18.75" thickBot="1">
      <c r="A51" s="25" t="s">
        <v>4</v>
      </c>
      <c r="B51" s="49">
        <v>6960.1</v>
      </c>
      <c r="C51" s="50">
        <f>16075.7+36.8</f>
        <v>16112.5</v>
      </c>
      <c r="D51" s="51">
        <f>8+294.9+37.1+10.7+29.1+464+10.3+76.6+3.8+16.5+359.8+101.4+28.4+17.4+423.7+90.6+34.9+37+0.1+9.1+9.3+297.9+22+64.6+70.7+6+66.1+10+1+492.9+75.6+12.9+0.1+89.4+151.6+362.5+3.6+52.3+5.5+47.6+477.8+131.7+10.9+138.5+313.4</f>
        <v>4967.299999999999</v>
      </c>
      <c r="E51" s="3">
        <f>D51/D149*100</f>
        <v>1.1549185351486027</v>
      </c>
      <c r="F51" s="3">
        <f>D51/B51*100</f>
        <v>71.36822746799614</v>
      </c>
      <c r="G51" s="3">
        <f t="shared" si="4"/>
        <v>30.828859581070596</v>
      </c>
      <c r="H51" s="51">
        <f>B51-D51</f>
        <v>1992.800000000001</v>
      </c>
      <c r="I51" s="51">
        <f t="shared" si="5"/>
        <v>11145.2</v>
      </c>
    </row>
    <row r="52" spans="1:9" ht="18">
      <c r="A52" s="26" t="s">
        <v>3</v>
      </c>
      <c r="B52" s="46">
        <v>4180.4</v>
      </c>
      <c r="C52" s="47">
        <v>10328.7</v>
      </c>
      <c r="D52" s="48">
        <f>8+294.9+437.7+298.5+423.7+297.9+451.2+294.5+446+301</f>
        <v>3253.3999999999996</v>
      </c>
      <c r="E52" s="1">
        <f>D52/D51*100</f>
        <v>65.496346103517</v>
      </c>
      <c r="F52" s="1">
        <f t="shared" si="6"/>
        <v>77.82508850827672</v>
      </c>
      <c r="G52" s="1">
        <f t="shared" si="4"/>
        <v>31.498639712645343</v>
      </c>
      <c r="H52" s="48">
        <f t="shared" si="7"/>
        <v>927</v>
      </c>
      <c r="I52" s="48">
        <f t="shared" si="5"/>
        <v>7075.300000000001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121.8</v>
      </c>
      <c r="C54" s="47">
        <v>287</v>
      </c>
      <c r="D54" s="48">
        <f>1.3+0.7+2.1+1+1.3+7.6+7.5+6.3+0.4+13+20.7+0.5+5.3</f>
        <v>67.7</v>
      </c>
      <c r="E54" s="1">
        <f>D54/D51*100</f>
        <v>1.3629134539890888</v>
      </c>
      <c r="F54" s="1">
        <f t="shared" si="6"/>
        <v>55.58292282430214</v>
      </c>
      <c r="G54" s="1">
        <f t="shared" si="4"/>
        <v>23.588850174216027</v>
      </c>
      <c r="H54" s="48">
        <f t="shared" si="7"/>
        <v>54.099999999999994</v>
      </c>
      <c r="I54" s="48">
        <f t="shared" si="5"/>
        <v>219.3</v>
      </c>
    </row>
    <row r="55" spans="1:9" ht="18">
      <c r="A55" s="26" t="s">
        <v>0</v>
      </c>
      <c r="B55" s="46">
        <v>540.7</v>
      </c>
      <c r="C55" s="47">
        <v>933.1</v>
      </c>
      <c r="D55" s="48">
        <f>10.7+0.6+7.6+85.1+28.4+14.4+0.1+8.5+0.1+7+0.1+7.7+62.8+6+1.3+0.9+0.9+1+0.7+0.1+4.7+15.2+34.9+9+4+15.8</f>
        <v>327.59999999999997</v>
      </c>
      <c r="E55" s="1">
        <f>D55/D51*100</f>
        <v>6.595132164354882</v>
      </c>
      <c r="F55" s="1">
        <f t="shared" si="6"/>
        <v>60.588126502681696</v>
      </c>
      <c r="G55" s="1">
        <f t="shared" si="4"/>
        <v>35.10877719429857</v>
      </c>
      <c r="H55" s="48">
        <f t="shared" si="7"/>
        <v>213.10000000000008</v>
      </c>
      <c r="I55" s="48">
        <f t="shared" si="5"/>
        <v>605.5</v>
      </c>
    </row>
    <row r="56" spans="1:9" ht="18.75" thickBot="1">
      <c r="A56" s="26" t="s">
        <v>34</v>
      </c>
      <c r="B56" s="47">
        <f>B51-B52-B55-B54-B53</f>
        <v>2117.2000000000007</v>
      </c>
      <c r="C56" s="47">
        <f>C51-C52-C55-C54-C53</f>
        <v>4551.699999999999</v>
      </c>
      <c r="D56" s="47">
        <f>D51-D52-D55-D54-D53</f>
        <v>1318.5999999999997</v>
      </c>
      <c r="E56" s="1">
        <f>D56/D51*100</f>
        <v>26.545608278139028</v>
      </c>
      <c r="F56" s="1">
        <f t="shared" si="6"/>
        <v>62.28037030039671</v>
      </c>
      <c r="G56" s="1">
        <f t="shared" si="4"/>
        <v>28.96939604982754</v>
      </c>
      <c r="H56" s="48">
        <f t="shared" si="7"/>
        <v>798.600000000001</v>
      </c>
      <c r="I56" s="48">
        <f>C56-D56</f>
        <v>3233.0999999999995</v>
      </c>
    </row>
    <row r="57" spans="1:9" s="41" customFormat="1" ht="19.5" hidden="1" thickBot="1">
      <c r="A57" s="104" t="s">
        <v>82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1262.8</v>
      </c>
      <c r="C58" s="50">
        <f>5881.8+134.4</f>
        <v>6016.2</v>
      </c>
      <c r="D58" s="51">
        <f>43.5+4.7+72.8+47.2+46+5+62.5+3.8+40.9+35.3+2.1+2.9+21.1+3.9+86.8+0.2+2.7+44.1+47.3+140.1+0.1+45.6</f>
        <v>758.6</v>
      </c>
      <c r="E58" s="3">
        <f>D58/D149*100</f>
        <v>0.17637775064194436</v>
      </c>
      <c r="F58" s="3">
        <f>D58/B58*100</f>
        <v>60.07285397529301</v>
      </c>
      <c r="G58" s="3">
        <f t="shared" si="4"/>
        <v>12.609288255044712</v>
      </c>
      <c r="H58" s="51">
        <f>B58-D58</f>
        <v>504.19999999999993</v>
      </c>
      <c r="I58" s="51">
        <f t="shared" si="5"/>
        <v>5257.599999999999</v>
      </c>
    </row>
    <row r="59" spans="1:9" ht="18">
      <c r="A59" s="26" t="s">
        <v>3</v>
      </c>
      <c r="B59" s="46">
        <v>672.9</v>
      </c>
      <c r="C59" s="47">
        <f>1508.2+134.4</f>
        <v>1642.6000000000001</v>
      </c>
      <c r="D59" s="48">
        <f>43.5+72.8+47.2+62.5+0.1+35.3+86.8+44.1+125.7+41.4</f>
        <v>559.4</v>
      </c>
      <c r="E59" s="1">
        <f>D59/D58*100</f>
        <v>73.74110203005536</v>
      </c>
      <c r="F59" s="1">
        <f t="shared" si="6"/>
        <v>83.13270916926734</v>
      </c>
      <c r="G59" s="1">
        <f t="shared" si="4"/>
        <v>34.05576525021307</v>
      </c>
      <c r="H59" s="48">
        <f t="shared" si="7"/>
        <v>113.5</v>
      </c>
      <c r="I59" s="48">
        <f t="shared" si="5"/>
        <v>1083.2000000000003</v>
      </c>
    </row>
    <row r="60" spans="1:9" ht="18">
      <c r="A60" s="26" t="s">
        <v>1</v>
      </c>
      <c r="B60" s="46">
        <v>165.9</v>
      </c>
      <c r="C60" s="47">
        <v>331.8</v>
      </c>
      <c r="D60" s="48"/>
      <c r="E60" s="1">
        <f>D60/D58*100</f>
        <v>0</v>
      </c>
      <c r="F60" s="1">
        <f>D60/B60*100</f>
        <v>0</v>
      </c>
      <c r="G60" s="1">
        <f t="shared" si="4"/>
        <v>0</v>
      </c>
      <c r="H60" s="48">
        <f t="shared" si="7"/>
        <v>165.9</v>
      </c>
      <c r="I60" s="48">
        <f t="shared" si="5"/>
        <v>331.8</v>
      </c>
    </row>
    <row r="61" spans="1:9" ht="18">
      <c r="A61" s="26" t="s">
        <v>0</v>
      </c>
      <c r="B61" s="46">
        <v>361.1</v>
      </c>
      <c r="C61" s="47">
        <v>627.5</v>
      </c>
      <c r="D61" s="48">
        <f>4.7+45.7+4.9+40.9+19.8+3.9+46.3+9</f>
        <v>175.2</v>
      </c>
      <c r="E61" s="1">
        <f>D61/D58*100</f>
        <v>23.095175322963353</v>
      </c>
      <c r="F61" s="1">
        <f t="shared" si="6"/>
        <v>48.51841595126003</v>
      </c>
      <c r="G61" s="1">
        <f t="shared" si="4"/>
        <v>27.9203187250996</v>
      </c>
      <c r="H61" s="48">
        <f t="shared" si="7"/>
        <v>185.90000000000003</v>
      </c>
      <c r="I61" s="48">
        <f t="shared" si="5"/>
        <v>452.3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62.89999999999995</v>
      </c>
      <c r="C63" s="47">
        <f>C58-C59-C61-C62-C60</f>
        <v>198.09999999999962</v>
      </c>
      <c r="D63" s="47">
        <f>D58-D59-D61-D62-D60</f>
        <v>24.000000000000057</v>
      </c>
      <c r="E63" s="1">
        <f>D63/D58*100</f>
        <v>3.163722646981289</v>
      </c>
      <c r="F63" s="1">
        <f t="shared" si="6"/>
        <v>38.15580286168533</v>
      </c>
      <c r="G63" s="1">
        <f t="shared" si="4"/>
        <v>12.115093387178245</v>
      </c>
      <c r="H63" s="48">
        <f t="shared" si="7"/>
        <v>38.89999999999989</v>
      </c>
      <c r="I63" s="48">
        <f t="shared" si="5"/>
        <v>174.09999999999957</v>
      </c>
    </row>
    <row r="64" spans="1:9" s="41" customFormat="1" ht="19.5" hidden="1" thickBot="1">
      <c r="A64" s="104" t="s">
        <v>93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79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80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81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267.4</v>
      </c>
      <c r="C68" s="50">
        <f>C69+C70</f>
        <v>563.4</v>
      </c>
      <c r="D68" s="51">
        <f>SUM(D69:D70)</f>
        <v>129.3</v>
      </c>
      <c r="E68" s="39">
        <f>D68/D149*100</f>
        <v>0.030062804057478784</v>
      </c>
      <c r="F68" s="3">
        <f>D68/B68*100</f>
        <v>48.354525056095746</v>
      </c>
      <c r="G68" s="3">
        <f t="shared" si="4"/>
        <v>22.94994675186369</v>
      </c>
      <c r="H68" s="51">
        <f>B68-D68</f>
        <v>138.09999999999997</v>
      </c>
      <c r="I68" s="51">
        <f t="shared" si="5"/>
        <v>434.09999999999997</v>
      </c>
    </row>
    <row r="69" spans="1:9" ht="18">
      <c r="A69" s="26" t="s">
        <v>8</v>
      </c>
      <c r="B69" s="46">
        <v>139.5</v>
      </c>
      <c r="C69" s="47">
        <v>171</v>
      </c>
      <c r="D69" s="48">
        <f>3.9+1+3+8.8+1.5+9.8+5+38.4+18.8+12.7+1+25.4</f>
        <v>129.3</v>
      </c>
      <c r="E69" s="1">
        <f>D69/D68*100</f>
        <v>100</v>
      </c>
      <c r="F69" s="1">
        <f t="shared" si="6"/>
        <v>92.68817204301077</v>
      </c>
      <c r="G69" s="1">
        <f t="shared" si="4"/>
        <v>75.6140350877193</v>
      </c>
      <c r="H69" s="48">
        <f t="shared" si="7"/>
        <v>10.199999999999989</v>
      </c>
      <c r="I69" s="48">
        <f t="shared" si="5"/>
        <v>41.69999999999999</v>
      </c>
    </row>
    <row r="70" spans="1:9" ht="18.75" thickBot="1">
      <c r="A70" s="26" t="s">
        <v>9</v>
      </c>
      <c r="B70" s="46">
        <v>127.9</v>
      </c>
      <c r="C70" s="47">
        <f>253.4-6+145</f>
        <v>392.4</v>
      </c>
      <c r="D70" s="48"/>
      <c r="E70" s="1">
        <f>D70/D69*100</f>
        <v>0</v>
      </c>
      <c r="F70" s="1">
        <f t="shared" si="6"/>
        <v>0</v>
      </c>
      <c r="G70" s="1">
        <f t="shared" si="4"/>
        <v>0</v>
      </c>
      <c r="H70" s="48">
        <f t="shared" si="7"/>
        <v>127.9</v>
      </c>
      <c r="I70" s="48">
        <f t="shared" si="5"/>
        <v>392.4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55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56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0</v>
      </c>
      <c r="C76" s="66">
        <f>10000-8192</f>
        <v>1808</v>
      </c>
      <c r="D76" s="67"/>
      <c r="E76" s="45"/>
      <c r="F76" s="45"/>
      <c r="G76" s="45"/>
      <c r="H76" s="67">
        <f>B76-D76</f>
        <v>0</v>
      </c>
      <c r="I76" s="67">
        <f t="shared" si="5"/>
        <v>1808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73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72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66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26038.3</v>
      </c>
      <c r="C89" s="50">
        <f>50201.5+5861</f>
        <v>56062.5</v>
      </c>
      <c r="D89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</f>
        <v>18479.800000000003</v>
      </c>
      <c r="E89" s="3">
        <f>D89/D149*100</f>
        <v>4.296632686940422</v>
      </c>
      <c r="F89" s="3">
        <f aca="true" t="shared" si="10" ref="F89:F95">D89/B89*100</f>
        <v>70.97160720938004</v>
      </c>
      <c r="G89" s="3">
        <f t="shared" si="8"/>
        <v>32.962853957636575</v>
      </c>
      <c r="H89" s="51">
        <f aca="true" t="shared" si="11" ref="H89:H95">B89-D89</f>
        <v>7558.499999999996</v>
      </c>
      <c r="I89" s="51">
        <f t="shared" si="9"/>
        <v>37582.7</v>
      </c>
    </row>
    <row r="90" spans="1:9" ht="18">
      <c r="A90" s="26" t="s">
        <v>3</v>
      </c>
      <c r="B90" s="46">
        <v>22112.8</v>
      </c>
      <c r="C90" s="47">
        <f>41785.6+5825.3</f>
        <v>47610.9</v>
      </c>
      <c r="D90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</f>
        <v>16472.9</v>
      </c>
      <c r="E90" s="1">
        <f>D90/D89*100</f>
        <v>89.14003398305177</v>
      </c>
      <c r="F90" s="1">
        <f t="shared" si="10"/>
        <v>74.49486270395428</v>
      </c>
      <c r="G90" s="1">
        <f t="shared" si="8"/>
        <v>34.59900989059228</v>
      </c>
      <c r="H90" s="48">
        <f t="shared" si="11"/>
        <v>5639.899999999998</v>
      </c>
      <c r="I90" s="48">
        <f t="shared" si="9"/>
        <v>31138</v>
      </c>
    </row>
    <row r="91" spans="1:9" ht="18">
      <c r="A91" s="26" t="s">
        <v>32</v>
      </c>
      <c r="B91" s="46">
        <v>1304.6</v>
      </c>
      <c r="C91" s="47">
        <v>2476</v>
      </c>
      <c r="D91" s="48">
        <f>9.8+96.8+35.3+50.2+1.4+30+1.1+18.1+138.1+43.8+4.2+9.3+27.5+5.8+0.2+2.4+1+11.7+14.7+34.3+26.9+2.8+30.4+0.1+1.4+0.2+22</f>
        <v>619.4999999999999</v>
      </c>
      <c r="E91" s="1">
        <f>D91/D89*100</f>
        <v>3.3523090076732416</v>
      </c>
      <c r="F91" s="1">
        <f t="shared" si="10"/>
        <v>47.48581940824773</v>
      </c>
      <c r="G91" s="1">
        <f t="shared" si="8"/>
        <v>25.020193861066232</v>
      </c>
      <c r="H91" s="48">
        <f t="shared" si="11"/>
        <v>685.1</v>
      </c>
      <c r="I91" s="48">
        <f t="shared" si="9"/>
        <v>1856.5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2620.9</v>
      </c>
      <c r="C93" s="47">
        <f>C89-C90-C91-C92</f>
        <v>5975.5999999999985</v>
      </c>
      <c r="D93" s="47">
        <f>D89-D90-D91-D92</f>
        <v>1387.4000000000015</v>
      </c>
      <c r="E93" s="1">
        <f>D93/D89*100</f>
        <v>7.507657009274999</v>
      </c>
      <c r="F93" s="1">
        <f t="shared" si="10"/>
        <v>52.936014346217</v>
      </c>
      <c r="G93" s="1">
        <f>D93/C93*100</f>
        <v>23.217752192248504</v>
      </c>
      <c r="H93" s="48">
        <f t="shared" si="11"/>
        <v>1233.4999999999986</v>
      </c>
      <c r="I93" s="48">
        <f>C93-D93</f>
        <v>4588.199999999997</v>
      </c>
    </row>
    <row r="94" spans="1:9" ht="18.75">
      <c r="A94" s="116" t="s">
        <v>12</v>
      </c>
      <c r="B94" s="119">
        <v>45714.6</v>
      </c>
      <c r="C94" s="121">
        <f>63500.4+11490.6+4535.2</f>
        <v>79526.2</v>
      </c>
      <c r="D94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</f>
        <v>32505.600000000002</v>
      </c>
      <c r="E94" s="115">
        <f>D94/D149*100</f>
        <v>7.557691288250444</v>
      </c>
      <c r="F94" s="118">
        <f t="shared" si="10"/>
        <v>71.10551114961086</v>
      </c>
      <c r="G94" s="114">
        <f>D94/C94*100</f>
        <v>40.87407671937048</v>
      </c>
      <c r="H94" s="120">
        <f t="shared" si="11"/>
        <v>13208.999999999996</v>
      </c>
      <c r="I94" s="130">
        <f>C94-D94</f>
        <v>47020.59999999999</v>
      </c>
    </row>
    <row r="95" spans="1:9" ht="18.75" thickBot="1">
      <c r="A95" s="117" t="s">
        <v>100</v>
      </c>
      <c r="B95" s="122">
        <v>2216.7</v>
      </c>
      <c r="C95" s="123">
        <v>5343.5</v>
      </c>
      <c r="D95" s="124">
        <f>57.3+368.5+61.1+0.1+320+59+0.8+309+245.5+61.2+0.4-0.1+489+12.5</f>
        <v>1984.3000000000002</v>
      </c>
      <c r="E95" s="125">
        <f>D95/D94*100</f>
        <v>6.1044866115377046</v>
      </c>
      <c r="F95" s="126">
        <f t="shared" si="10"/>
        <v>89.51594712861463</v>
      </c>
      <c r="G95" s="127">
        <f>D95/C95*100</f>
        <v>37.134836717507255</v>
      </c>
      <c r="H95" s="131">
        <f t="shared" si="11"/>
        <v>232.39999999999964</v>
      </c>
      <c r="I95" s="132">
        <f>C95-D95</f>
        <v>3359.2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63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4484.1</v>
      </c>
      <c r="C101" s="100">
        <f>10703.3-154</f>
        <v>10549.3</v>
      </c>
      <c r="D101" s="87">
        <f>40+388.7+47.5+2+10.9+26+40+10.7+4.9+126.7+451+1.9+19.2+1.6+31.5+41+134.3+2+40+303.9+42.9+136.5+32.6+15.2+0.1+18+62.7+4.9+159.7+3.3+4.9+45.5+355.5+2+11.4+51.9+80.1+8.7+15.5+6+0.2+15+38.8+236.4</f>
        <v>3071.6000000000004</v>
      </c>
      <c r="E101" s="22">
        <f>D101/D149*100</f>
        <v>0.7141601619717852</v>
      </c>
      <c r="F101" s="22">
        <f>D101/B101*100</f>
        <v>68.49981044133717</v>
      </c>
      <c r="G101" s="22">
        <f aca="true" t="shared" si="12" ref="G101:G147">D101/C101*100</f>
        <v>29.116623851819558</v>
      </c>
      <c r="H101" s="87">
        <f aca="true" t="shared" si="13" ref="H101:H106">B101-D101</f>
        <v>1412.5</v>
      </c>
      <c r="I101" s="87">
        <f aca="true" t="shared" si="14" ref="I101:I147">C101-D101</f>
        <v>7477.699999999999</v>
      </c>
    </row>
    <row r="102" spans="1:9" ht="18">
      <c r="A102" s="26" t="s">
        <v>3</v>
      </c>
      <c r="B102" s="97">
        <v>60.8</v>
      </c>
      <c r="C102" s="95">
        <v>187.6</v>
      </c>
      <c r="D102" s="95">
        <f>15</f>
        <v>15</v>
      </c>
      <c r="E102" s="91">
        <f>D102/D101*100</f>
        <v>0.4883448365672613</v>
      </c>
      <c r="F102" s="1">
        <f>D102/B102*100</f>
        <v>24.67105263157895</v>
      </c>
      <c r="G102" s="91">
        <f>D102/C102*100</f>
        <v>7.995735607675907</v>
      </c>
      <c r="H102" s="95">
        <f t="shared" si="13"/>
        <v>45.8</v>
      </c>
      <c r="I102" s="95">
        <f t="shared" si="14"/>
        <v>172.6</v>
      </c>
    </row>
    <row r="103" spans="1:9" ht="18">
      <c r="A103" s="93" t="s">
        <v>60</v>
      </c>
      <c r="B103" s="78">
        <v>3692.2</v>
      </c>
      <c r="C103" s="48">
        <f>8863.3-154</f>
        <v>8709.3</v>
      </c>
      <c r="D103" s="48">
        <f>39.8+388.5+20.6+2+26+40+4.1+126.5+407.9+18+31.2+40.6+134.1+2+40+303.9+135.8+32.6+7.9+0.1+62.1+159.2+45.1+355.5+2+51.4+35.4+235.2</f>
        <v>2747.4999999999995</v>
      </c>
      <c r="E103" s="1">
        <f>D103/D101*100</f>
        <v>89.44849589790334</v>
      </c>
      <c r="F103" s="1">
        <f aca="true" t="shared" si="15" ref="F103:F147">D103/B103*100</f>
        <v>74.41362873083797</v>
      </c>
      <c r="G103" s="1">
        <f t="shared" si="12"/>
        <v>31.546737395657516</v>
      </c>
      <c r="H103" s="48">
        <f t="shared" si="13"/>
        <v>944.7000000000003</v>
      </c>
      <c r="I103" s="48">
        <f t="shared" si="14"/>
        <v>5961.799999999999</v>
      </c>
    </row>
    <row r="104" spans="1:9" ht="54.75" hidden="1" thickBot="1">
      <c r="A104" s="94" t="s">
        <v>96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731.1000000000004</v>
      </c>
      <c r="C105" s="96">
        <f>C101-C102-C103</f>
        <v>1652.3999999999996</v>
      </c>
      <c r="D105" s="96">
        <f>D101-D102-D103</f>
        <v>309.1000000000008</v>
      </c>
      <c r="E105" s="92">
        <f>D105/D101*100</f>
        <v>10.063159265529391</v>
      </c>
      <c r="F105" s="92">
        <f t="shared" si="15"/>
        <v>42.2787580358365</v>
      </c>
      <c r="G105" s="92">
        <f t="shared" si="12"/>
        <v>18.706124425078727</v>
      </c>
      <c r="H105" s="132">
        <f>B105-D105</f>
        <v>421.99999999999955</v>
      </c>
      <c r="I105" s="132">
        <f t="shared" si="14"/>
        <v>1343.2999999999988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176721.6</v>
      </c>
      <c r="C106" s="89">
        <f>SUM(C107:C146)-C114-C118+C147-C138-C139-C108-C111-C121-C122-C136-C130-C128</f>
        <v>474532.3</v>
      </c>
      <c r="D106" s="89">
        <f>SUM(D107:D146)-D114-D118+D147-D138-D139-D108-D111-D121-D122-D136-D130-D128</f>
        <v>119508</v>
      </c>
      <c r="E106" s="90">
        <f>D106/D149*100</f>
        <v>27.78612209823027</v>
      </c>
      <c r="F106" s="90">
        <f>D106/B106*100</f>
        <v>67.62501018551212</v>
      </c>
      <c r="G106" s="90">
        <f t="shared" si="12"/>
        <v>25.184376279549358</v>
      </c>
      <c r="H106" s="89">
        <f t="shared" si="13"/>
        <v>57213.600000000006</v>
      </c>
      <c r="I106" s="89">
        <f t="shared" si="14"/>
        <v>355024.3</v>
      </c>
    </row>
    <row r="107" spans="1:9" ht="37.5">
      <c r="A107" s="31" t="s">
        <v>64</v>
      </c>
      <c r="B107" s="75">
        <v>1007</v>
      </c>
      <c r="C107" s="71">
        <v>2166.2</v>
      </c>
      <c r="D107" s="76">
        <f>142.7+0.9+78.6+37.4+44.2+140.1+1+20.9+25.7+0.2+2+0.6+0.4+1.8+1.5-0.1+62.6+2.1</f>
        <v>562.5999999999999</v>
      </c>
      <c r="E107" s="6">
        <f>D107/D106*100</f>
        <v>0.4707634635338219</v>
      </c>
      <c r="F107" s="6">
        <f t="shared" si="15"/>
        <v>55.868917576961266</v>
      </c>
      <c r="G107" s="6">
        <f t="shared" si="12"/>
        <v>25.971747761056225</v>
      </c>
      <c r="H107" s="65">
        <f aca="true" t="shared" si="16" ref="H107:H147">B107-D107</f>
        <v>444.4000000000001</v>
      </c>
      <c r="I107" s="65">
        <f t="shared" si="14"/>
        <v>1603.6</v>
      </c>
    </row>
    <row r="108" spans="1:9" ht="18">
      <c r="A108" s="26" t="s">
        <v>32</v>
      </c>
      <c r="B108" s="78">
        <v>589.7</v>
      </c>
      <c r="C108" s="48">
        <v>1213.5</v>
      </c>
      <c r="D108" s="79">
        <f>142.7+0.9+78.6+37.4+20.9+42.5</f>
        <v>322.99999999999994</v>
      </c>
      <c r="E108" s="1">
        <f>D108/D107*100</f>
        <v>57.41201564166371</v>
      </c>
      <c r="F108" s="1">
        <f t="shared" si="15"/>
        <v>54.7736137018823</v>
      </c>
      <c r="G108" s="1">
        <f t="shared" si="12"/>
        <v>26.617222908941073</v>
      </c>
      <c r="H108" s="48">
        <f t="shared" si="16"/>
        <v>266.7000000000001</v>
      </c>
      <c r="I108" s="48">
        <f t="shared" si="14"/>
        <v>890.5</v>
      </c>
    </row>
    <row r="109" spans="1:9" ht="34.5" customHeight="1">
      <c r="A109" s="16" t="s">
        <v>95</v>
      </c>
      <c r="B109" s="77">
        <v>188.3</v>
      </c>
      <c r="C109" s="65">
        <v>778.3</v>
      </c>
      <c r="D109" s="76">
        <f>26.5+20.2+7.7+37.4+7.5+38.9-0.1+38.9</f>
        <v>177.00000000000003</v>
      </c>
      <c r="E109" s="6">
        <f>D109/D106*100</f>
        <v>0.1481072396826991</v>
      </c>
      <c r="F109" s="6">
        <f>D109/B109*100</f>
        <v>93.99893786510887</v>
      </c>
      <c r="G109" s="6">
        <f t="shared" si="12"/>
        <v>22.74187331363228</v>
      </c>
      <c r="H109" s="65">
        <f t="shared" si="16"/>
        <v>11.299999999999983</v>
      </c>
      <c r="I109" s="65">
        <f t="shared" si="14"/>
        <v>601.3</v>
      </c>
    </row>
    <row r="110" spans="1:9" s="41" customFormat="1" ht="34.5" customHeight="1">
      <c r="A110" s="16" t="s">
        <v>71</v>
      </c>
      <c r="B110" s="77">
        <v>348</v>
      </c>
      <c r="C110" s="57">
        <v>774.1</v>
      </c>
      <c r="D110" s="80"/>
      <c r="E110" s="6">
        <f>D110/D106*100</f>
        <v>0</v>
      </c>
      <c r="F110" s="6">
        <f t="shared" si="15"/>
        <v>0</v>
      </c>
      <c r="G110" s="6">
        <f t="shared" si="12"/>
        <v>0</v>
      </c>
      <c r="H110" s="65">
        <f t="shared" si="16"/>
        <v>348</v>
      </c>
      <c r="I110" s="65">
        <f t="shared" si="14"/>
        <v>774.1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115</v>
      </c>
      <c r="B112" s="77">
        <v>20</v>
      </c>
      <c r="C112" s="65">
        <v>50</v>
      </c>
      <c r="D112" s="76"/>
      <c r="E112" s="6">
        <f>D112/D106*100</f>
        <v>0</v>
      </c>
      <c r="F112" s="133">
        <f t="shared" si="15"/>
        <v>0</v>
      </c>
      <c r="G112" s="6">
        <f t="shared" si="12"/>
        <v>0</v>
      </c>
      <c r="H112" s="65">
        <f t="shared" si="16"/>
        <v>20</v>
      </c>
      <c r="I112" s="65">
        <f t="shared" si="14"/>
        <v>50</v>
      </c>
    </row>
    <row r="113" spans="1:9" ht="37.5">
      <c r="A113" s="16" t="s">
        <v>46</v>
      </c>
      <c r="B113" s="77">
        <v>801.2</v>
      </c>
      <c r="C113" s="65">
        <v>1795.8</v>
      </c>
      <c r="D113" s="76">
        <f>82.2+4.4+0.2+16.8+100.8+0.1+8.3+21.3+93.2+14.5+11.8+88.2+4.6+1.1</f>
        <v>447.50000000000006</v>
      </c>
      <c r="E113" s="6">
        <f>D113/D106*100</f>
        <v>0.3744519195367675</v>
      </c>
      <c r="F113" s="6">
        <f t="shared" si="15"/>
        <v>55.8537194208687</v>
      </c>
      <c r="G113" s="6">
        <f t="shared" si="12"/>
        <v>24.91925604187549</v>
      </c>
      <c r="H113" s="65">
        <f t="shared" si="16"/>
        <v>353.7</v>
      </c>
      <c r="I113" s="65">
        <f t="shared" si="14"/>
        <v>1348.3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>
      <c r="A115" s="16" t="s">
        <v>116</v>
      </c>
      <c r="B115" s="77">
        <v>67.2</v>
      </c>
      <c r="C115" s="57">
        <v>264.5</v>
      </c>
      <c r="D115" s="80"/>
      <c r="E115" s="17">
        <f>D115/D106*100</f>
        <v>0</v>
      </c>
      <c r="F115" s="6">
        <f t="shared" si="15"/>
        <v>0</v>
      </c>
      <c r="G115" s="17">
        <f t="shared" si="12"/>
        <v>0</v>
      </c>
      <c r="H115" s="57">
        <f t="shared" si="16"/>
        <v>67.2</v>
      </c>
      <c r="I115" s="57">
        <f t="shared" si="14"/>
        <v>264.5</v>
      </c>
    </row>
    <row r="116" spans="1:9" ht="37.5">
      <c r="A116" s="16" t="s">
        <v>57</v>
      </c>
      <c r="B116" s="77">
        <v>40</v>
      </c>
      <c r="C116" s="65">
        <v>110</v>
      </c>
      <c r="D116" s="76"/>
      <c r="E116" s="6">
        <f>D116/D106*100</f>
        <v>0</v>
      </c>
      <c r="F116" s="6">
        <f>D116/B116*100</f>
        <v>0</v>
      </c>
      <c r="G116" s="6">
        <f t="shared" si="12"/>
        <v>0</v>
      </c>
      <c r="H116" s="65">
        <f t="shared" si="16"/>
        <v>40</v>
      </c>
      <c r="I116" s="65">
        <f t="shared" si="14"/>
        <v>110</v>
      </c>
    </row>
    <row r="117" spans="1:9" s="2" customFormat="1" ht="18.75">
      <c r="A117" s="16" t="s">
        <v>16</v>
      </c>
      <c r="B117" s="77">
        <v>107.9</v>
      </c>
      <c r="C117" s="57">
        <v>229.6</v>
      </c>
      <c r="D117" s="76">
        <f>17.1-0.3+0.8+0.3+21.4+4.2+0.3+17.6+4.2+0.8+0.3+16.8</f>
        <v>83.49999999999999</v>
      </c>
      <c r="E117" s="6">
        <f>D117/D106*100</f>
        <v>0.06986979951132977</v>
      </c>
      <c r="F117" s="6">
        <f t="shared" si="15"/>
        <v>77.386468952734</v>
      </c>
      <c r="G117" s="6">
        <f t="shared" si="12"/>
        <v>36.367595818815325</v>
      </c>
      <c r="H117" s="65">
        <f t="shared" si="16"/>
        <v>24.40000000000002</v>
      </c>
      <c r="I117" s="65">
        <f t="shared" si="14"/>
        <v>146.10000000000002</v>
      </c>
    </row>
    <row r="118" spans="1:9" s="36" customFormat="1" ht="18">
      <c r="A118" s="37" t="s">
        <v>53</v>
      </c>
      <c r="B118" s="78">
        <v>84.9</v>
      </c>
      <c r="C118" s="48">
        <v>170.2</v>
      </c>
      <c r="D118" s="79">
        <f>17.1-0.3+16.8+16.8+16.8</f>
        <v>67.2</v>
      </c>
      <c r="E118" s="1">
        <f>D118/D117*100</f>
        <v>80.47904191616769</v>
      </c>
      <c r="F118" s="1">
        <f t="shared" si="15"/>
        <v>79.15194346289752</v>
      </c>
      <c r="G118" s="1">
        <f t="shared" si="12"/>
        <v>39.48296122209166</v>
      </c>
      <c r="H118" s="48">
        <f t="shared" si="16"/>
        <v>17.700000000000003</v>
      </c>
      <c r="I118" s="48">
        <f t="shared" si="14"/>
        <v>102.99999999999999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467.6</v>
      </c>
      <c r="C120" s="57">
        <f>204.9+375.8</f>
        <v>580.7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467.6</v>
      </c>
      <c r="I120" s="65">
        <f t="shared" si="14"/>
        <v>580.7</v>
      </c>
    </row>
    <row r="121" spans="1:9" s="110" customFormat="1" ht="18">
      <c r="A121" s="26" t="s">
        <v>97</v>
      </c>
      <c r="B121" s="78">
        <v>80</v>
      </c>
      <c r="C121" s="48">
        <v>80</v>
      </c>
      <c r="D121" s="79"/>
      <c r="E121" s="6"/>
      <c r="F121" s="1">
        <f>D121/B121*100</f>
        <v>0</v>
      </c>
      <c r="G121" s="1">
        <f t="shared" si="12"/>
        <v>0</v>
      </c>
      <c r="H121" s="48">
        <f t="shared" si="16"/>
        <v>80</v>
      </c>
      <c r="I121" s="48">
        <f t="shared" si="14"/>
        <v>80</v>
      </c>
    </row>
    <row r="122" spans="1:9" s="110" customFormat="1" ht="18" hidden="1">
      <c r="A122" s="26" t="s">
        <v>61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6101</v>
      </c>
      <c r="C123" s="57">
        <f>5096.9+1707.5</f>
        <v>6804.4</v>
      </c>
      <c r="D123" s="80">
        <f>3776+7.6+1124+100+14.3+14.5+0.1</f>
        <v>5036.500000000001</v>
      </c>
      <c r="E123" s="17">
        <f>D123/D106*100</f>
        <v>4.214362218428892</v>
      </c>
      <c r="F123" s="6">
        <f t="shared" si="15"/>
        <v>82.55204064907393</v>
      </c>
      <c r="G123" s="6">
        <f t="shared" si="12"/>
        <v>74.01828228793136</v>
      </c>
      <c r="H123" s="65">
        <f t="shared" si="16"/>
        <v>1064.499999999999</v>
      </c>
      <c r="I123" s="65">
        <f t="shared" si="14"/>
        <v>1767.8999999999987</v>
      </c>
    </row>
    <row r="124" spans="1:9" s="2" customFormat="1" ht="18.75">
      <c r="A124" s="16" t="s">
        <v>118</v>
      </c>
      <c r="B124" s="77">
        <v>70</v>
      </c>
      <c r="C124" s="57">
        <v>1239</v>
      </c>
      <c r="D124" s="80"/>
      <c r="E124" s="17">
        <f>D124/D106*100</f>
        <v>0</v>
      </c>
      <c r="F124" s="133">
        <f t="shared" si="15"/>
        <v>0</v>
      </c>
      <c r="G124" s="6">
        <f t="shared" si="12"/>
        <v>0</v>
      </c>
      <c r="H124" s="65">
        <f t="shared" si="16"/>
        <v>70</v>
      </c>
      <c r="I124" s="65">
        <f t="shared" si="14"/>
        <v>1239</v>
      </c>
    </row>
    <row r="125" spans="1:9" s="2" customFormat="1" ht="37.5">
      <c r="A125" s="16" t="s">
        <v>117</v>
      </c>
      <c r="B125" s="77">
        <v>0</v>
      </c>
      <c r="C125" s="57">
        <v>20</v>
      </c>
      <c r="D125" s="80"/>
      <c r="E125" s="17">
        <f>D125/D106*100</f>
        <v>0</v>
      </c>
      <c r="F125" s="133" t="e">
        <f t="shared" si="15"/>
        <v>#DIV/0!</v>
      </c>
      <c r="G125" s="6">
        <f t="shared" si="12"/>
        <v>0</v>
      </c>
      <c r="H125" s="65">
        <f t="shared" si="16"/>
        <v>0</v>
      </c>
      <c r="I125" s="65">
        <f t="shared" si="14"/>
        <v>20</v>
      </c>
    </row>
    <row r="126" spans="1:9" s="2" customFormat="1" ht="37.5">
      <c r="A126" s="16" t="s">
        <v>102</v>
      </c>
      <c r="B126" s="77">
        <v>95.1</v>
      </c>
      <c r="C126" s="57">
        <v>95.1</v>
      </c>
      <c r="D126" s="80">
        <f>4.5+17.5+0.7</f>
        <v>22.7</v>
      </c>
      <c r="E126" s="17">
        <f>D126/D106*100</f>
        <v>0.018994544298289652</v>
      </c>
      <c r="F126" s="6">
        <f t="shared" si="15"/>
        <v>23.869610935856993</v>
      </c>
      <c r="G126" s="6">
        <f t="shared" si="12"/>
        <v>23.869610935856993</v>
      </c>
      <c r="H126" s="65">
        <f t="shared" si="16"/>
        <v>72.39999999999999</v>
      </c>
      <c r="I126" s="65">
        <f t="shared" si="14"/>
        <v>72.39999999999999</v>
      </c>
    </row>
    <row r="127" spans="1:9" s="2" customFormat="1" ht="37.5">
      <c r="A127" s="16" t="s">
        <v>74</v>
      </c>
      <c r="B127" s="77">
        <v>362.5</v>
      </c>
      <c r="C127" s="57">
        <v>983</v>
      </c>
      <c r="D127" s="80">
        <f>2.8+14.4+2.8+8.8+3.7+4+2.8+5.8+9.6+4.2+2.7</f>
        <v>61.6</v>
      </c>
      <c r="E127" s="17">
        <f>D127/D106*100</f>
        <v>0.05154466646584329</v>
      </c>
      <c r="F127" s="6">
        <f t="shared" si="15"/>
        <v>16.99310344827586</v>
      </c>
      <c r="G127" s="6">
        <f t="shared" si="12"/>
        <v>6.266531027466939</v>
      </c>
      <c r="H127" s="65">
        <f t="shared" si="16"/>
        <v>300.9</v>
      </c>
      <c r="I127" s="65">
        <f t="shared" si="14"/>
        <v>921.4</v>
      </c>
    </row>
    <row r="128" spans="1:9" s="36" customFormat="1" ht="18">
      <c r="A128" s="26" t="s">
        <v>111</v>
      </c>
      <c r="B128" s="78">
        <v>311.6</v>
      </c>
      <c r="C128" s="48">
        <v>851.8</v>
      </c>
      <c r="D128" s="79">
        <f>2.8+2.8-0.1+2.8+2.7</f>
        <v>11</v>
      </c>
      <c r="E128" s="1">
        <f>D128/D127*100</f>
        <v>17.857142857142858</v>
      </c>
      <c r="F128" s="1">
        <f>D128/B128*100</f>
        <v>3.530166880616174</v>
      </c>
      <c r="G128" s="1">
        <f t="shared" si="12"/>
        <v>1.2913829537450108</v>
      </c>
      <c r="H128" s="48">
        <f t="shared" si="16"/>
        <v>300.6</v>
      </c>
      <c r="I128" s="48">
        <f t="shared" si="14"/>
        <v>840.8</v>
      </c>
    </row>
    <row r="129" spans="1:9" s="2" customFormat="1" ht="18.75" hidden="1">
      <c r="A129" s="16" t="s">
        <v>69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68</v>
      </c>
      <c r="B131" s="77">
        <v>25.4</v>
      </c>
      <c r="C131" s="57">
        <v>64.1</v>
      </c>
      <c r="D131" s="80">
        <f>0.8+2.3</f>
        <v>3.0999999999999996</v>
      </c>
      <c r="E131" s="17">
        <f>D131/D106*100</f>
        <v>0.002593968604612243</v>
      </c>
      <c r="F131" s="6">
        <f t="shared" si="15"/>
        <v>12.204724409448819</v>
      </c>
      <c r="G131" s="6">
        <f t="shared" si="12"/>
        <v>4.83619344773791</v>
      </c>
      <c r="H131" s="65">
        <f t="shared" si="16"/>
        <v>22.299999999999997</v>
      </c>
      <c r="I131" s="65">
        <f t="shared" si="14"/>
        <v>60.99999999999999</v>
      </c>
    </row>
    <row r="132" spans="1:9" s="2" customFormat="1" ht="35.25" customHeight="1" hidden="1">
      <c r="A132" s="16" t="s">
        <v>70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109</v>
      </c>
      <c r="B133" s="77">
        <v>224.2</v>
      </c>
      <c r="C133" s="57">
        <v>600</v>
      </c>
      <c r="D133" s="80">
        <f>0.8+5+0.9+2.6-0.1+0.6</f>
        <v>9.8</v>
      </c>
      <c r="E133" s="17">
        <f>D133/D106*100</f>
        <v>0.008200287846838706</v>
      </c>
      <c r="F133" s="6">
        <f t="shared" si="15"/>
        <v>4.3710972346119545</v>
      </c>
      <c r="G133" s="6">
        <f t="shared" si="12"/>
        <v>1.6333333333333335</v>
      </c>
      <c r="H133" s="65">
        <f t="shared" si="16"/>
        <v>214.39999999999998</v>
      </c>
      <c r="I133" s="65">
        <f t="shared" si="14"/>
        <v>590.2</v>
      </c>
    </row>
    <row r="134" spans="1:9" s="2" customFormat="1" ht="35.25" customHeight="1" hidden="1">
      <c r="A134" s="16" t="s">
        <v>110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101</v>
      </c>
      <c r="B135" s="77">
        <v>176.4</v>
      </c>
      <c r="C135" s="57">
        <v>363.7</v>
      </c>
      <c r="D135" s="80">
        <f>5.2+0.3+2.7+0.1+0.5+0.2+13.8+39.2+5+5.9+2</f>
        <v>74.9</v>
      </c>
      <c r="E135" s="17">
        <f>D135/D106*100</f>
        <v>0.06267362854369583</v>
      </c>
      <c r="F135" s="6">
        <f t="shared" si="15"/>
        <v>42.46031746031746</v>
      </c>
      <c r="G135" s="6">
        <f>D135/C135*100</f>
        <v>20.59389606818807</v>
      </c>
      <c r="H135" s="65">
        <f t="shared" si="16"/>
        <v>101.5</v>
      </c>
      <c r="I135" s="65">
        <f t="shared" si="14"/>
        <v>288.79999999999995</v>
      </c>
    </row>
    <row r="136" spans="1:9" s="36" customFormat="1" ht="18">
      <c r="A136" s="26" t="s">
        <v>32</v>
      </c>
      <c r="B136" s="78">
        <v>116.7</v>
      </c>
      <c r="C136" s="48">
        <v>218.8</v>
      </c>
      <c r="D136" s="79">
        <f>0.3+39.3+0.2+2</f>
        <v>41.8</v>
      </c>
      <c r="E136" s="111">
        <f>D136/D135*100</f>
        <v>55.80774365821094</v>
      </c>
      <c r="F136" s="1">
        <f t="shared" si="15"/>
        <v>35.818337617823474</v>
      </c>
      <c r="G136" s="1">
        <f>D136/C136*100</f>
        <v>19.104204753199266</v>
      </c>
      <c r="H136" s="48">
        <f t="shared" si="16"/>
        <v>74.9</v>
      </c>
      <c r="I136" s="48">
        <f t="shared" si="14"/>
        <v>177</v>
      </c>
    </row>
    <row r="137" spans="1:9" s="2" customFormat="1" ht="18.75">
      <c r="A137" s="16" t="s">
        <v>31</v>
      </c>
      <c r="B137" s="77">
        <v>477.1</v>
      </c>
      <c r="C137" s="57">
        <v>1160.2</v>
      </c>
      <c r="D137" s="80">
        <f>26.5+42.3+30.1+3.6+8.6+42.3+0.1+5.7+31.9+5.2+42.5+11.7+55+45.4+28.3+17.8</f>
        <v>396.99999999999994</v>
      </c>
      <c r="E137" s="17">
        <f>D137/D106*100</f>
        <v>0.3321953342035679</v>
      </c>
      <c r="F137" s="6">
        <f t="shared" si="15"/>
        <v>83.21106686229301</v>
      </c>
      <c r="G137" s="6">
        <f t="shared" si="12"/>
        <v>34.2182382347871</v>
      </c>
      <c r="H137" s="65">
        <f t="shared" si="16"/>
        <v>80.10000000000008</v>
      </c>
      <c r="I137" s="65">
        <f t="shared" si="14"/>
        <v>763.2</v>
      </c>
    </row>
    <row r="138" spans="1:9" s="36" customFormat="1" ht="18">
      <c r="A138" s="37" t="s">
        <v>53</v>
      </c>
      <c r="B138" s="78">
        <v>369.8</v>
      </c>
      <c r="C138" s="48">
        <v>886.2</v>
      </c>
      <c r="D138" s="79">
        <f>26.5+39.8+30.1+42.1+0.1+31.9+40.5+11.2+38.1+30.1+28.3+17.4</f>
        <v>336.1</v>
      </c>
      <c r="E138" s="1">
        <f>D138/D137*100</f>
        <v>84.65994962216627</v>
      </c>
      <c r="F138" s="1">
        <f aca="true" t="shared" si="17" ref="F138:F146">D138/B138*100</f>
        <v>90.8869659275284</v>
      </c>
      <c r="G138" s="1">
        <f t="shared" si="12"/>
        <v>37.92597607763485</v>
      </c>
      <c r="H138" s="48">
        <f t="shared" si="16"/>
        <v>33.69999999999999</v>
      </c>
      <c r="I138" s="48">
        <f t="shared" si="14"/>
        <v>550.1</v>
      </c>
    </row>
    <row r="139" spans="1:9" s="36" customFormat="1" ht="18">
      <c r="A139" s="26" t="s">
        <v>32</v>
      </c>
      <c r="B139" s="78">
        <v>22.4</v>
      </c>
      <c r="C139" s="48">
        <v>39.3</v>
      </c>
      <c r="D139" s="79">
        <f>8.6+0.2+0.3+5.1+0.4+5.3+0.3</f>
        <v>20.2</v>
      </c>
      <c r="E139" s="1">
        <f>D139/D137*100</f>
        <v>5.088161209068011</v>
      </c>
      <c r="F139" s="1">
        <f t="shared" si="17"/>
        <v>90.17857142857143</v>
      </c>
      <c r="G139" s="1">
        <f>D139/C139*100</f>
        <v>51.399491094147585</v>
      </c>
      <c r="H139" s="48">
        <f t="shared" si="16"/>
        <v>2.1999999999999993</v>
      </c>
      <c r="I139" s="48">
        <f t="shared" si="14"/>
        <v>19.099999999999998</v>
      </c>
    </row>
    <row r="140" spans="1:9" s="2" customFormat="1" ht="56.25">
      <c r="A140" s="20" t="s">
        <v>106</v>
      </c>
      <c r="B140" s="77">
        <v>345</v>
      </c>
      <c r="C140" s="57">
        <v>345</v>
      </c>
      <c r="D140" s="80">
        <f>345</f>
        <v>345</v>
      </c>
      <c r="E140" s="17">
        <f>D140/D106*100</f>
        <v>0.28868360277136257</v>
      </c>
      <c r="F140" s="107">
        <f t="shared" si="17"/>
        <v>100</v>
      </c>
      <c r="G140" s="6">
        <f t="shared" si="12"/>
        <v>100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108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103</v>
      </c>
      <c r="B142" s="77">
        <v>18612.8</v>
      </c>
      <c r="C142" s="57">
        <f>16744+15000</f>
        <v>31744</v>
      </c>
      <c r="D142" s="80">
        <f>112.8+55.6+128.7+0.1+105.3+21.7+331.5+41.9+106.9+1197.5+64.4+33.5+768.6+5.6+65.8+1473+34.4+335.2+312.9+1166.8+460.5+1222.9+80.6+345.1+0.1+100+568+208.9</f>
        <v>9348.3</v>
      </c>
      <c r="E142" s="17">
        <f>D142/D106*100</f>
        <v>7.8223215182247205</v>
      </c>
      <c r="F142" s="107">
        <f t="shared" si="17"/>
        <v>50.22511390011175</v>
      </c>
      <c r="G142" s="6">
        <f t="shared" si="12"/>
        <v>29.449029737903228</v>
      </c>
      <c r="H142" s="65">
        <f t="shared" si="16"/>
        <v>9264.5</v>
      </c>
      <c r="I142" s="65">
        <f t="shared" si="14"/>
        <v>22395.7</v>
      </c>
    </row>
    <row r="143" spans="1:9" s="2" customFormat="1" ht="18.75" hidden="1">
      <c r="A143" s="20" t="s">
        <v>104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107</v>
      </c>
      <c r="B144" s="77">
        <v>4208.7</v>
      </c>
      <c r="C144" s="57">
        <v>6504.8</v>
      </c>
      <c r="D144" s="80">
        <f>2094</f>
        <v>2094</v>
      </c>
      <c r="E144" s="17">
        <f>D144/D106*100</f>
        <v>1.7521839542122701</v>
      </c>
      <c r="F144" s="107">
        <f t="shared" si="17"/>
        <v>49.75408083256113</v>
      </c>
      <c r="G144" s="6">
        <f t="shared" si="12"/>
        <v>32.1916123478047</v>
      </c>
      <c r="H144" s="65">
        <f t="shared" si="16"/>
        <v>2114.7</v>
      </c>
      <c r="I144" s="65">
        <f t="shared" si="14"/>
        <v>4410.8</v>
      </c>
    </row>
    <row r="145" spans="1:12" s="2" customFormat="1" ht="18.75" customHeight="1">
      <c r="A145" s="16" t="s">
        <v>94</v>
      </c>
      <c r="B145" s="77">
        <v>602.7</v>
      </c>
      <c r="C145" s="57">
        <v>602.7</v>
      </c>
      <c r="D145" s="80">
        <f>568.7+16.6-0.1+15.4+2.1</f>
        <v>602.7</v>
      </c>
      <c r="E145" s="17">
        <f>D145/D106*100</f>
        <v>0.5043177025805804</v>
      </c>
      <c r="F145" s="107">
        <f t="shared" si="17"/>
        <v>100</v>
      </c>
      <c r="G145" s="6">
        <f t="shared" si="12"/>
        <v>100</v>
      </c>
      <c r="H145" s="65">
        <f t="shared" si="16"/>
        <v>0</v>
      </c>
      <c r="I145" s="65">
        <f t="shared" si="14"/>
        <v>0</v>
      </c>
      <c r="K145" s="42"/>
      <c r="L145" s="42"/>
    </row>
    <row r="146" spans="1:12" s="2" customFormat="1" ht="19.5" customHeight="1">
      <c r="A146" s="16" t="s">
        <v>62</v>
      </c>
      <c r="B146" s="77">
        <v>130289.5</v>
      </c>
      <c r="C146" s="57">
        <f>298394.8+81857.1-188.4+8192</f>
        <v>388255.5</v>
      </c>
      <c r="D146" s="80">
        <f>26548.7+545.5+173+4155.7+7306.3+113.6+824.5+6.1+72.3+8+1047.4+410+6261.9+444+5000+62+300+4421.1+9632.9+10381.2+4798+2674.1+4582.7</f>
        <v>89769</v>
      </c>
      <c r="E146" s="17">
        <f>D146/D106*100</f>
        <v>75.11547344110855</v>
      </c>
      <c r="F146" s="6">
        <f t="shared" si="17"/>
        <v>68.89964271871486</v>
      </c>
      <c r="G146" s="6">
        <f t="shared" si="12"/>
        <v>23.12111483288711</v>
      </c>
      <c r="H146" s="65">
        <f t="shared" si="16"/>
        <v>40520.5</v>
      </c>
      <c r="I146" s="65">
        <f t="shared" si="14"/>
        <v>298486.5</v>
      </c>
      <c r="K146" s="99"/>
      <c r="L146" s="42"/>
    </row>
    <row r="147" spans="1:12" s="2" customFormat="1" ht="18.75">
      <c r="A147" s="16" t="s">
        <v>105</v>
      </c>
      <c r="B147" s="77">
        <v>12084</v>
      </c>
      <c r="C147" s="57">
        <v>29001.6</v>
      </c>
      <c r="D147" s="80">
        <f>805.6+805.6+805.6+805.6+805.6+805.6+805.6+805.6+805.6+805.6+805.6+805.6+805.6</f>
        <v>10472.800000000003</v>
      </c>
      <c r="E147" s="17">
        <f>D147/D106*100</f>
        <v>8.763262710446165</v>
      </c>
      <c r="F147" s="6">
        <f t="shared" si="15"/>
        <v>86.66666666666669</v>
      </c>
      <c r="G147" s="6">
        <f t="shared" si="12"/>
        <v>36.11111111111112</v>
      </c>
      <c r="H147" s="65">
        <f t="shared" si="16"/>
        <v>1611.199999999997</v>
      </c>
      <c r="I147" s="65">
        <f t="shared" si="14"/>
        <v>18528.799999999996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181891.2</v>
      </c>
      <c r="C148" s="81">
        <f>C43+C68+C71+C76+C78+C86+C101+C106+C99+C83+C97</f>
        <v>488352.5</v>
      </c>
      <c r="D148" s="57">
        <f>D43+D68+D71+D76+D78+D86+D101+D106+D99+D83+D97</f>
        <v>123002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585182.7999999999</v>
      </c>
      <c r="C149" s="51">
        <f>C6+C18+C33+C43+C51+C58+C68+C71+C76+C78+C86+C89+C94+C101+C106+C99+C83+C97+C45</f>
        <v>1387275.6</v>
      </c>
      <c r="D149" s="51">
        <f>D6+D18+D33+D43+D51+D58+D68+D71+D76+D78+D86+D89+D94+D101+D106+D99+D83+D97+D45</f>
        <v>430099.6</v>
      </c>
      <c r="E149" s="35">
        <v>100</v>
      </c>
      <c r="F149" s="3">
        <f>D149/B149*100</f>
        <v>73.49833248687419</v>
      </c>
      <c r="G149" s="3">
        <f aca="true" t="shared" si="18" ref="G149:G155">D149/C149*100</f>
        <v>31.003183505858527</v>
      </c>
      <c r="H149" s="51">
        <f aca="true" t="shared" si="19" ref="H149:H155">B149-D149</f>
        <v>155083.19999999995</v>
      </c>
      <c r="I149" s="51">
        <f aca="true" t="shared" si="20" ref="I149:I155">C149-D149</f>
        <v>957176.0000000001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249457.49999999994</v>
      </c>
      <c r="C150" s="64">
        <f>C8+C20+C34+C52+C59+C90+C114+C118+C46+C138+C130+C102</f>
        <v>587319.2999999998</v>
      </c>
      <c r="D150" s="64">
        <f>D8+D20+D34+D52+D59+D90+D114+D118+D46+D138+D130+D102</f>
        <v>202643.8</v>
      </c>
      <c r="E150" s="6">
        <f>D150/D149*100</f>
        <v>47.11555183962041</v>
      </c>
      <c r="F150" s="6">
        <f aca="true" t="shared" si="21" ref="F150:F161">D150/B150*100</f>
        <v>81.2337973402283</v>
      </c>
      <c r="G150" s="6">
        <f t="shared" si="18"/>
        <v>34.5031739975172</v>
      </c>
      <c r="H150" s="65">
        <f t="shared" si="19"/>
        <v>46813.69999999995</v>
      </c>
      <c r="I150" s="76">
        <f t="shared" si="20"/>
        <v>384675.4999999998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55166.19999999998</v>
      </c>
      <c r="C151" s="65">
        <f>C11+C23+C36+C55+C61+C91+C49+C139+C108+C111+C95+C136</f>
        <v>114263.80000000002</v>
      </c>
      <c r="D151" s="65">
        <f>D11+D23+D36+D55+D61+D91+D49+D139+D108+D111+D95+D136</f>
        <v>40685.2</v>
      </c>
      <c r="E151" s="6">
        <f>D151/D149*100</f>
        <v>9.459483338277924</v>
      </c>
      <c r="F151" s="6">
        <f t="shared" si="21"/>
        <v>73.75023111977988</v>
      </c>
      <c r="G151" s="6">
        <f t="shared" si="18"/>
        <v>35.60637752289001</v>
      </c>
      <c r="H151" s="65">
        <f t="shared" si="19"/>
        <v>14480.999999999985</v>
      </c>
      <c r="I151" s="76">
        <f t="shared" si="20"/>
        <v>73578.60000000002</v>
      </c>
      <c r="K151" s="43"/>
      <c r="L151" s="98"/>
    </row>
    <row r="152" spans="1:12" ht="18.75">
      <c r="A152" s="20" t="s">
        <v>1</v>
      </c>
      <c r="B152" s="64">
        <f>B22+B10+B54+B48+B60+B35+B122</f>
        <v>18767.2</v>
      </c>
      <c r="C152" s="64">
        <f>C22+C10+C54+C48+C60+C35+C122</f>
        <v>32660.300000000003</v>
      </c>
      <c r="D152" s="64">
        <f>D22+D10+D54+D48+D60+D35+D122</f>
        <v>11149.900000000001</v>
      </c>
      <c r="E152" s="6">
        <f>D152/D149*100</f>
        <v>2.5923995279233</v>
      </c>
      <c r="F152" s="6">
        <f t="shared" si="21"/>
        <v>59.41163306193785</v>
      </c>
      <c r="G152" s="6">
        <f t="shared" si="18"/>
        <v>34.139000560313285</v>
      </c>
      <c r="H152" s="65">
        <f t="shared" si="19"/>
        <v>7617.299999999999</v>
      </c>
      <c r="I152" s="76">
        <f t="shared" si="20"/>
        <v>21510.4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10697.300000000001</v>
      </c>
      <c r="C153" s="64">
        <f>C12+C24+C103+C62+C38+C92+C128</f>
        <v>29141.7</v>
      </c>
      <c r="D153" s="64">
        <f>D12+D24+D103+D62+D38+D92+D128</f>
        <v>7793.5</v>
      </c>
      <c r="E153" s="6">
        <f>D153/D149*100</f>
        <v>1.812022145568143</v>
      </c>
      <c r="F153" s="6">
        <f t="shared" si="21"/>
        <v>72.85483252783412</v>
      </c>
      <c r="G153" s="6">
        <f t="shared" si="18"/>
        <v>26.743463833613003</v>
      </c>
      <c r="H153" s="65">
        <f t="shared" si="19"/>
        <v>2903.800000000001</v>
      </c>
      <c r="I153" s="76">
        <f t="shared" si="20"/>
        <v>21348.2</v>
      </c>
      <c r="K153" s="43"/>
      <c r="L153" s="98"/>
    </row>
    <row r="154" spans="1:12" ht="18.75">
      <c r="A154" s="20" t="s">
        <v>2</v>
      </c>
      <c r="B154" s="64">
        <f>B9+B21+B47+B53+B121</f>
        <v>10717.4</v>
      </c>
      <c r="C154" s="64">
        <f>C9+C21+C47+C53+C121</f>
        <v>21133.1</v>
      </c>
      <c r="D154" s="64">
        <f>D9+D21+D47+D53+D121</f>
        <v>6504.299999999999</v>
      </c>
      <c r="E154" s="6">
        <f>D154/D149*100</f>
        <v>1.51227762127656</v>
      </c>
      <c r="F154" s="6">
        <f t="shared" si="21"/>
        <v>60.68915968425177</v>
      </c>
      <c r="G154" s="6">
        <f t="shared" si="18"/>
        <v>30.777784612763863</v>
      </c>
      <c r="H154" s="65">
        <f t="shared" si="19"/>
        <v>4213.1</v>
      </c>
      <c r="I154" s="76">
        <f t="shared" si="20"/>
        <v>14628.8</v>
      </c>
      <c r="K154" s="43"/>
      <c r="L154" s="44"/>
    </row>
    <row r="155" spans="1:12" ht="19.5" thickBot="1">
      <c r="A155" s="20" t="s">
        <v>34</v>
      </c>
      <c r="B155" s="64">
        <f>B149-B150-B151-B152-B153-B154</f>
        <v>240377.19999999998</v>
      </c>
      <c r="C155" s="64">
        <f>C149-C150-C151-C152-C153-C154</f>
        <v>602757.4000000003</v>
      </c>
      <c r="D155" s="64">
        <f>D149-D150-D151-D152-D153-D154</f>
        <v>161322.9</v>
      </c>
      <c r="E155" s="6">
        <f>D155/D149*100</f>
        <v>37.50826552733367</v>
      </c>
      <c r="F155" s="6">
        <f t="shared" si="21"/>
        <v>67.11239668321288</v>
      </c>
      <c r="G155" s="40">
        <f t="shared" si="18"/>
        <v>26.76415088392111</v>
      </c>
      <c r="H155" s="65">
        <f t="shared" si="19"/>
        <v>79054.29999999999</v>
      </c>
      <c r="I155" s="65">
        <f t="shared" si="20"/>
        <v>441434.50000000023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v>11164.3</v>
      </c>
      <c r="C157" s="70">
        <f>11264.2-188.4+16049.8</f>
        <v>27125.6</v>
      </c>
      <c r="D157" s="70">
        <f>33+3.1+31.8+118.6+8.5</f>
        <v>195</v>
      </c>
      <c r="E157" s="14"/>
      <c r="F157" s="6">
        <f t="shared" si="21"/>
        <v>1.7466388398735255</v>
      </c>
      <c r="G157" s="6">
        <f aca="true" t="shared" si="22" ref="G157:G166">D157/C157*100</f>
        <v>0.7188781077653582</v>
      </c>
      <c r="H157" s="6">
        <f>B157-D157</f>
        <v>10969.3</v>
      </c>
      <c r="I157" s="6">
        <f aca="true" t="shared" si="23" ref="I157:I166">C157-D157</f>
        <v>26930.6</v>
      </c>
      <c r="K157" s="43"/>
      <c r="L157" s="43"/>
    </row>
    <row r="158" spans="1:12" ht="18.75">
      <c r="A158" s="20" t="s">
        <v>22</v>
      </c>
      <c r="B158" s="85">
        <v>18441</v>
      </c>
      <c r="C158" s="64">
        <v>40292</v>
      </c>
      <c r="D158" s="64">
        <f>100+49.9+293.6+174.2+159.5+52+404.4</f>
        <v>1233.6</v>
      </c>
      <c r="E158" s="6"/>
      <c r="F158" s="6">
        <f t="shared" si="21"/>
        <v>6.689442004229705</v>
      </c>
      <c r="G158" s="6">
        <f t="shared" si="22"/>
        <v>3.061649955326119</v>
      </c>
      <c r="H158" s="6">
        <f aca="true" t="shared" si="24" ref="H158:H165">B158-D158</f>
        <v>17207.4</v>
      </c>
      <c r="I158" s="6">
        <f t="shared" si="23"/>
        <v>39058.4</v>
      </c>
      <c r="K158" s="43"/>
      <c r="L158" s="43"/>
    </row>
    <row r="159" spans="1:12" ht="18.75">
      <c r="A159" s="20" t="s">
        <v>58</v>
      </c>
      <c r="B159" s="85">
        <v>157087.7</v>
      </c>
      <c r="C159" s="64">
        <f>253351.6+55+5844.1+52645.5+25515.3</f>
        <v>337411.5</v>
      </c>
      <c r="D159" s="64">
        <f>12.5+3344.4+45.2+21.2+85.3+173+1150+146+881.8+6.7+72.3+7.9+1090.6+406.5+1979.4+513.5+90.2+25+189.9+299.5+4617.2+143.8+383.9+349+1337.3+105+3537.4</f>
        <v>21014.5</v>
      </c>
      <c r="E159" s="6"/>
      <c r="F159" s="6">
        <f t="shared" si="21"/>
        <v>13.377559159628666</v>
      </c>
      <c r="G159" s="6">
        <f t="shared" si="22"/>
        <v>6.228151678291937</v>
      </c>
      <c r="H159" s="6">
        <f t="shared" si="24"/>
        <v>136073.2</v>
      </c>
      <c r="I159" s="6">
        <f t="shared" si="23"/>
        <v>316397</v>
      </c>
      <c r="K159" s="43"/>
      <c r="L159" s="43"/>
    </row>
    <row r="160" spans="1:12" ht="37.5" hidden="1">
      <c r="A160" s="20" t="s">
        <v>67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f>8267-150</f>
        <v>8117</v>
      </c>
      <c r="C161" s="64">
        <f>9501+4181.1</f>
        <v>13682.1</v>
      </c>
      <c r="D161" s="64">
        <f>49.9+127.8+39.6+53.8+398.2+8.4+32.5+231.9+89.8+103.6+52.4+19.2+179.2+118+109.5+32.3+81.3+0.1+165.4+333.7</f>
        <v>2226.6</v>
      </c>
      <c r="E161" s="17"/>
      <c r="F161" s="6">
        <f t="shared" si="21"/>
        <v>27.43131698903536</v>
      </c>
      <c r="G161" s="6">
        <f t="shared" si="22"/>
        <v>16.273817615716883</v>
      </c>
      <c r="H161" s="6">
        <f t="shared" si="24"/>
        <v>5890.4</v>
      </c>
      <c r="I161" s="6">
        <f t="shared" si="23"/>
        <v>11455.5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852.5</v>
      </c>
      <c r="C163" s="64">
        <v>2118.3</v>
      </c>
      <c r="D163" s="64">
        <f>394.4+14</f>
        <v>408.4</v>
      </c>
      <c r="E163" s="17"/>
      <c r="F163" s="6">
        <f>D163/B163*100</f>
        <v>47.906158357771254</v>
      </c>
      <c r="G163" s="6">
        <f t="shared" si="22"/>
        <v>19.279611008827832</v>
      </c>
      <c r="H163" s="6">
        <f t="shared" si="24"/>
        <v>444.1</v>
      </c>
      <c r="I163" s="6">
        <f t="shared" si="23"/>
        <v>1709.9</v>
      </c>
    </row>
    <row r="164" spans="1:9" ht="19.5" customHeight="1" hidden="1">
      <c r="A164" s="20" t="s">
        <v>65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59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780845.3</v>
      </c>
      <c r="C166" s="87">
        <f>C149+C157+C161+C162+C158+C165+C164+C159+C163+C160</f>
        <v>1807905.1000000003</v>
      </c>
      <c r="D166" s="87">
        <f>D149+D157+D161+D162+D158+D165+D164+D159+D163+D160</f>
        <v>455177.69999999995</v>
      </c>
      <c r="E166" s="22"/>
      <c r="F166" s="3">
        <f>D166/B166*100</f>
        <v>58.29294227678644</v>
      </c>
      <c r="G166" s="3">
        <f t="shared" si="22"/>
        <v>25.17707926151654</v>
      </c>
      <c r="H166" s="3">
        <f>B166-D166</f>
        <v>325667.6000000001</v>
      </c>
      <c r="I166" s="3">
        <f t="shared" si="23"/>
        <v>1352727.4000000004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1387275.6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430099.6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1" sqref="R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1387275.6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430099.6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2016-04-29T11:14:16Z</cp:lastPrinted>
  <dcterms:created xsi:type="dcterms:W3CDTF">2000-06-20T04:48:00Z</dcterms:created>
  <dcterms:modified xsi:type="dcterms:W3CDTF">2016-05-12T05:05:03Z</dcterms:modified>
  <cp:category/>
  <cp:version/>
  <cp:contentType/>
  <cp:contentStatus/>
</cp:coreProperties>
</file>